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 firstSheet="6" activeTab="10"/>
  </bookViews>
  <sheets>
    <sheet name="Techno economic parameters" sheetId="1" r:id="rId1"/>
    <sheet name="Project summary" sheetId="5" r:id="rId2"/>
    <sheet name="Investment" sheetId="6" r:id="rId3"/>
    <sheet name="year wise Piglet  projection" sheetId="14" r:id="rId4"/>
    <sheet name="Herd projection chart" sheetId="2" r:id="rId5"/>
    <sheet name="Feed expenditure" sheetId="3" r:id="rId6"/>
    <sheet name="manure " sheetId="10" r:id="rId7"/>
    <sheet name="Cost Benefit Analysis" sheetId="8" r:id="rId8"/>
    <sheet name="Depreciation " sheetId="11" r:id="rId9"/>
    <sheet name="Repayment schedule" sheetId="12" r:id="rId10"/>
    <sheet name="Sheet1" sheetId="15" r:id="rId11"/>
    <sheet name="Sheet2" sheetId="16" r:id="rId12"/>
    <sheet name="Sheet3" sheetId="17" r:id="rId13"/>
  </sheets>
  <definedNames>
    <definedName name="OLE_LINK1" localSheetId="0">'Techno economic parameters'!$A$83</definedName>
  </definedNames>
  <calcPr calcId="124519"/>
</workbook>
</file>

<file path=xl/calcChain.xml><?xml version="1.0" encoding="utf-8"?>
<calcChain xmlns="http://schemas.openxmlformats.org/spreadsheetml/2006/main">
  <c r="I16" i="14"/>
  <c r="H39" i="8"/>
  <c r="G39"/>
  <c r="F39"/>
  <c r="E39"/>
  <c r="D39"/>
  <c r="C39"/>
  <c r="F11" i="15" l="1"/>
  <c r="H11" s="1"/>
  <c r="K92" i="14"/>
  <c r="K91"/>
  <c r="I91"/>
  <c r="K77"/>
  <c r="K76"/>
  <c r="I76"/>
  <c r="K62"/>
  <c r="K61"/>
  <c r="I61"/>
  <c r="K47"/>
  <c r="K46"/>
  <c r="I46"/>
  <c r="K32"/>
  <c r="G11" i="15"/>
  <c r="G10"/>
  <c r="L10" s="1"/>
  <c r="F11" i="8"/>
  <c r="L9" i="15"/>
  <c r="N9" s="1"/>
  <c r="M11"/>
  <c r="M10"/>
  <c r="E43" i="8"/>
  <c r="F43"/>
  <c r="G43"/>
  <c r="H43"/>
  <c r="D43"/>
  <c r="F25" i="6"/>
  <c r="H27" i="8" s="1"/>
  <c r="C15" i="11"/>
  <c r="E15" s="1"/>
  <c r="C14"/>
  <c r="E14" s="1"/>
  <c r="K31" i="14"/>
  <c r="I31"/>
  <c r="K17"/>
  <c r="K16"/>
  <c r="C40" i="8"/>
  <c r="F24" i="6"/>
  <c r="D28" i="8" s="1"/>
  <c r="H41"/>
  <c r="G41"/>
  <c r="F41"/>
  <c r="E41"/>
  <c r="D41"/>
  <c r="C41"/>
  <c r="H40"/>
  <c r="G40"/>
  <c r="F40"/>
  <c r="E40"/>
  <c r="D40"/>
  <c r="H30"/>
  <c r="G30"/>
  <c r="F30"/>
  <c r="E30"/>
  <c r="H26"/>
  <c r="G26"/>
  <c r="F26"/>
  <c r="E26"/>
  <c r="D26"/>
  <c r="D11" i="3"/>
  <c r="B11"/>
  <c r="B10"/>
  <c r="F11"/>
  <c r="F7"/>
  <c r="E14" i="6"/>
  <c r="E13"/>
  <c r="E12"/>
  <c r="E11"/>
  <c r="E10"/>
  <c r="E9"/>
  <c r="E8"/>
  <c r="AH12" i="2"/>
  <c r="AH9"/>
  <c r="AG9"/>
  <c r="AF9"/>
  <c r="AB12"/>
  <c r="F10" i="3" s="1"/>
  <c r="V12" i="2"/>
  <c r="F9" i="3" s="1"/>
  <c r="P12" i="2"/>
  <c r="F8" i="3" s="1"/>
  <c r="J12" i="2"/>
  <c r="E17"/>
  <c r="K9" s="1"/>
  <c r="K17" s="1"/>
  <c r="Q9" s="1"/>
  <c r="Q17" s="1"/>
  <c r="W9" s="1"/>
  <c r="W17" s="1"/>
  <c r="AC9" s="1"/>
  <c r="AC17" s="1"/>
  <c r="AI9" s="1"/>
  <c r="AI17" s="1"/>
  <c r="C16" i="11" s="1"/>
  <c r="E16" s="1"/>
  <c r="G17" i="2"/>
  <c r="J6" i="3" s="1"/>
  <c r="F17" i="2"/>
  <c r="H6" i="3" s="1"/>
  <c r="L11" i="15" l="1"/>
  <c r="N11" s="1"/>
  <c r="F6" i="3"/>
  <c r="N10" i="15"/>
  <c r="D27" i="8"/>
  <c r="G27"/>
  <c r="F27"/>
  <c r="E27"/>
  <c r="K6" i="3"/>
  <c r="C27" i="8"/>
  <c r="G28"/>
  <c r="F28"/>
  <c r="H28"/>
  <c r="E28"/>
  <c r="F9" l="1"/>
  <c r="L7"/>
  <c r="N7" s="1"/>
  <c r="E7"/>
  <c r="D7"/>
  <c r="E6"/>
  <c r="C26" l="1"/>
  <c r="F7"/>
  <c r="E29" s="1"/>
  <c r="F10"/>
  <c r="E5"/>
  <c r="F6" i="10"/>
  <c r="G6" s="1"/>
  <c r="F5"/>
  <c r="G5" s="1"/>
  <c r="F4"/>
  <c r="G4" s="1"/>
  <c r="F3"/>
  <c r="G3" s="1"/>
  <c r="C42" i="8" s="1"/>
  <c r="C48" s="1"/>
  <c r="D10" i="3"/>
  <c r="C3" i="12" l="1"/>
  <c r="D22" s="1"/>
  <c r="G29" i="8"/>
  <c r="D29"/>
  <c r="F29"/>
  <c r="C29"/>
  <c r="H29"/>
  <c r="G7" i="10"/>
  <c r="D9" i="3"/>
  <c r="B9"/>
  <c r="D8"/>
  <c r="B8"/>
  <c r="D7"/>
  <c r="B7"/>
  <c r="M6"/>
  <c r="C25" i="8" s="1"/>
  <c r="G42" l="1"/>
  <c r="H42"/>
  <c r="D42"/>
  <c r="D48" s="1"/>
  <c r="E42"/>
  <c r="E48" s="1"/>
  <c r="F42"/>
  <c r="F48" s="1"/>
  <c r="D6"/>
  <c r="F6" s="1"/>
  <c r="D6" i="3"/>
  <c r="B6"/>
  <c r="I17" i="2"/>
  <c r="O9" s="1"/>
  <c r="H17"/>
  <c r="C17"/>
  <c r="B17"/>
  <c r="AB9"/>
  <c r="AA9"/>
  <c r="Z9"/>
  <c r="V9"/>
  <c r="M9"/>
  <c r="J7" i="3" s="1"/>
  <c r="L9" i="2"/>
  <c r="H7" i="3" s="1"/>
  <c r="J9" i="2"/>
  <c r="G91" i="14"/>
  <c r="G76"/>
  <c r="G61"/>
  <c r="G46"/>
  <c r="M30"/>
  <c r="G30"/>
  <c r="G31" s="1"/>
  <c r="G16"/>
  <c r="M15"/>
  <c r="K9"/>
  <c r="F21" i="6"/>
  <c r="F20"/>
  <c r="F22" s="1"/>
  <c r="H5" i="11" s="1"/>
  <c r="F14" i="6"/>
  <c r="F13"/>
  <c r="F12"/>
  <c r="F11"/>
  <c r="F10"/>
  <c r="F9"/>
  <c r="F8"/>
  <c r="F5"/>
  <c r="E4"/>
  <c r="E3"/>
  <c r="E65" i="1"/>
  <c r="E64"/>
  <c r="J5" i="11" l="1"/>
  <c r="K5" s="1"/>
  <c r="H6" s="1"/>
  <c r="N9" i="2"/>
  <c r="L6" i="3"/>
  <c r="D5" i="8" s="1"/>
  <c r="F5" s="1"/>
  <c r="G48"/>
  <c r="G3" i="12" s="1"/>
  <c r="D26" s="1"/>
  <c r="F15" i="6"/>
  <c r="M17" i="2"/>
  <c r="L17"/>
  <c r="R9" s="1"/>
  <c r="R17" s="1"/>
  <c r="F3" i="6"/>
  <c r="F3" i="12"/>
  <c r="D3"/>
  <c r="E3"/>
  <c r="F4" i="6"/>
  <c r="F23" l="1"/>
  <c r="B5" i="11"/>
  <c r="J6"/>
  <c r="D34" i="8" s="1"/>
  <c r="F6" i="6"/>
  <c r="F27" s="1"/>
  <c r="B21" i="12" s="1"/>
  <c r="C34" i="8"/>
  <c r="F13"/>
  <c r="L7" i="3"/>
  <c r="D24" i="8" s="1"/>
  <c r="S9" i="2"/>
  <c r="D24" i="12"/>
  <c r="D25"/>
  <c r="D23"/>
  <c r="C24" i="8"/>
  <c r="K6" i="11" l="1"/>
  <c r="H7" s="1"/>
  <c r="K7" i="3"/>
  <c r="J8"/>
  <c r="C22" i="8"/>
  <c r="S17" i="2"/>
  <c r="M7" i="3"/>
  <c r="D25" i="8" s="1"/>
  <c r="C5" i="5"/>
  <c r="J7" i="11" l="1"/>
  <c r="E34" i="8" s="1"/>
  <c r="C7" i="5"/>
  <c r="C8" s="1"/>
  <c r="D5" i="11"/>
  <c r="F12" i="8" s="1"/>
  <c r="F14" s="1"/>
  <c r="X9" i="2"/>
  <c r="O17"/>
  <c r="U9" s="1"/>
  <c r="N17"/>
  <c r="T9" s="1"/>
  <c r="K7" i="11" l="1"/>
  <c r="H8" s="1"/>
  <c r="J8" s="1"/>
  <c r="F34" i="8" s="1"/>
  <c r="H9" i="3"/>
  <c r="H8"/>
  <c r="L8" s="1"/>
  <c r="E24" i="8" s="1"/>
  <c r="D12" i="12"/>
  <c r="D11"/>
  <c r="E11" s="1"/>
  <c r="E5" i="11"/>
  <c r="B6" s="1"/>
  <c r="D6" s="1"/>
  <c r="C33" i="8"/>
  <c r="C12" i="12"/>
  <c r="C13"/>
  <c r="C15"/>
  <c r="C16"/>
  <c r="C14"/>
  <c r="X17" i="2"/>
  <c r="AD9" s="1"/>
  <c r="H10" i="3" s="1"/>
  <c r="C21" i="12"/>
  <c r="Y9" i="2"/>
  <c r="K8" i="11" l="1"/>
  <c r="H9" s="1"/>
  <c r="C35" i="8"/>
  <c r="C49" s="1"/>
  <c r="K9" i="3"/>
  <c r="K8"/>
  <c r="M8" s="1"/>
  <c r="E25" i="8" s="1"/>
  <c r="J9" i="3"/>
  <c r="L9" s="1"/>
  <c r="F24" i="8" s="1"/>
  <c r="E6" i="11"/>
  <c r="B7" s="1"/>
  <c r="D7" s="1"/>
  <c r="D33" i="8"/>
  <c r="AD17" i="2"/>
  <c r="AJ9" s="1"/>
  <c r="H11" i="3" s="1"/>
  <c r="D14" i="12"/>
  <c r="E14" s="1"/>
  <c r="D13"/>
  <c r="E13" s="1"/>
  <c r="E12"/>
  <c r="D16"/>
  <c r="E16" s="1"/>
  <c r="D15"/>
  <c r="E15" s="1"/>
  <c r="Y17" i="2"/>
  <c r="J9" i="11" l="1"/>
  <c r="G34" i="8" s="1"/>
  <c r="C4" i="12"/>
  <c r="E22" s="1"/>
  <c r="C50" i="8"/>
  <c r="D35"/>
  <c r="D49" s="1"/>
  <c r="E7" i="11"/>
  <c r="B8" s="1"/>
  <c r="D8" s="1"/>
  <c r="F33" i="8" s="1"/>
  <c r="E33"/>
  <c r="E35" s="1"/>
  <c r="M9" i="3"/>
  <c r="F25" i="8" s="1"/>
  <c r="AJ17" i="2"/>
  <c r="C17" i="11" s="1"/>
  <c r="E17" s="1"/>
  <c r="AE9" i="2"/>
  <c r="K9" i="11" l="1"/>
  <c r="H10" s="1"/>
  <c r="F35" i="8"/>
  <c r="F49" s="1"/>
  <c r="F4" i="12" s="1"/>
  <c r="C6"/>
  <c r="B11" s="1"/>
  <c r="B22" s="1"/>
  <c r="D4"/>
  <c r="E23" s="1"/>
  <c r="D50" i="8"/>
  <c r="J10" i="3"/>
  <c r="L10" s="1"/>
  <c r="G24" i="8" s="1"/>
  <c r="K10" i="3"/>
  <c r="M10" s="1"/>
  <c r="E49" i="8"/>
  <c r="E8" i="11"/>
  <c r="B9" s="1"/>
  <c r="D9" s="1"/>
  <c r="AE17" i="2"/>
  <c r="AK9" s="1"/>
  <c r="K10" i="11" l="1"/>
  <c r="H46" i="8" s="1"/>
  <c r="J10" i="11"/>
  <c r="H34" i="8" s="1"/>
  <c r="D6" i="12"/>
  <c r="F11"/>
  <c r="C22"/>
  <c r="F22" s="1"/>
  <c r="G22"/>
  <c r="E4"/>
  <c r="E24" s="1"/>
  <c r="E50" i="8"/>
  <c r="K11" i="3"/>
  <c r="M11" s="1"/>
  <c r="J11"/>
  <c r="L11" s="1"/>
  <c r="H24" i="8" s="1"/>
  <c r="B12" i="12"/>
  <c r="E9" i="11"/>
  <c r="G33" i="8"/>
  <c r="F50"/>
  <c r="AK17" i="2"/>
  <c r="C18" i="11" s="1"/>
  <c r="E18" s="1"/>
  <c r="E19" s="1"/>
  <c r="H47" i="8" s="1"/>
  <c r="E25" i="12"/>
  <c r="F6"/>
  <c r="B14" s="1"/>
  <c r="E6" l="1"/>
  <c r="B13" s="1"/>
  <c r="B24" s="1"/>
  <c r="C24" s="1"/>
  <c r="B23"/>
  <c r="F12"/>
  <c r="F14"/>
  <c r="B25"/>
  <c r="C25" s="1"/>
  <c r="B10" i="11"/>
  <c r="G25" i="8"/>
  <c r="G35" s="1"/>
  <c r="H25"/>
  <c r="F13" i="12" l="1"/>
  <c r="C23"/>
  <c r="G24"/>
  <c r="G25"/>
  <c r="G23"/>
  <c r="D10" i="11"/>
  <c r="H33" i="8" s="1"/>
  <c r="G49"/>
  <c r="H35" l="1"/>
  <c r="H49" s="1"/>
  <c r="F25" i="12"/>
  <c r="F24"/>
  <c r="F23"/>
  <c r="G50" i="8"/>
  <c r="G4" i="12"/>
  <c r="E26" s="1"/>
  <c r="E10" i="11"/>
  <c r="H45" i="8" s="1"/>
  <c r="H48" s="1"/>
  <c r="H3" i="12" s="1"/>
  <c r="D27" s="1"/>
  <c r="H50" i="8" l="1"/>
  <c r="H4" i="12"/>
  <c r="E27" s="1"/>
  <c r="C31" s="1"/>
  <c r="C12" i="5" s="1"/>
  <c r="G6" i="12"/>
  <c r="B15" s="1"/>
  <c r="H6" l="1"/>
  <c r="B16" s="1"/>
  <c r="F16" s="1"/>
  <c r="B27" s="1"/>
  <c r="C27" s="1"/>
  <c r="B26"/>
  <c r="F15"/>
  <c r="C26" l="1"/>
  <c r="G26"/>
  <c r="G27"/>
  <c r="C30"/>
  <c r="C13" i="5" s="1"/>
  <c r="C29" i="12" l="1"/>
  <c r="C11" i="5" s="1"/>
  <c r="F26" i="12"/>
  <c r="F27"/>
</calcChain>
</file>

<file path=xl/sharedStrings.xml><?xml version="1.0" encoding="utf-8"?>
<sst xmlns="http://schemas.openxmlformats.org/spreadsheetml/2006/main" count="650" uniqueCount="360">
  <si>
    <t xml:space="preserve">Particulars </t>
  </si>
  <si>
    <t xml:space="preserve">Year wise stock strength of breeding stock(100 +10).production and disposal </t>
  </si>
  <si>
    <t xml:space="preserve">Second </t>
  </si>
  <si>
    <t xml:space="preserve">Third </t>
  </si>
  <si>
    <t>Fourth</t>
  </si>
  <si>
    <t>Fifth</t>
  </si>
  <si>
    <t xml:space="preserve">A </t>
  </si>
  <si>
    <t xml:space="preserve">Y </t>
  </si>
  <si>
    <t>B</t>
  </si>
  <si>
    <t>S</t>
  </si>
  <si>
    <t>F</t>
  </si>
  <si>
    <t xml:space="preserve">Opening stock </t>
  </si>
  <si>
    <t xml:space="preserve">No of piglets born </t>
  </si>
  <si>
    <t xml:space="preserve">Piglet mortality </t>
  </si>
  <si>
    <t>Weaners</t>
  </si>
  <si>
    <t xml:space="preserve">Replacement stock </t>
  </si>
  <si>
    <t xml:space="preserve">Closing stock </t>
  </si>
  <si>
    <t xml:space="preserve">First year </t>
  </si>
  <si>
    <t>Y</t>
  </si>
  <si>
    <t xml:space="preserve"> </t>
  </si>
  <si>
    <t>Projected Feed Consumption</t>
  </si>
  <si>
    <t xml:space="preserve">Years </t>
  </si>
  <si>
    <t xml:space="preserve">Boars </t>
  </si>
  <si>
    <t xml:space="preserve">Sows </t>
  </si>
  <si>
    <t>Breeding stock (500)</t>
  </si>
  <si>
    <t xml:space="preserve">Total </t>
  </si>
  <si>
    <r>
      <t>1</t>
    </r>
    <r>
      <rPr>
        <b/>
        <vertAlign val="superscript"/>
        <sz val="18"/>
        <color theme="1"/>
        <rFont val="Calibri"/>
        <family val="2"/>
        <scheme val="minor"/>
      </rPr>
      <t>st</t>
    </r>
    <r>
      <rPr>
        <sz val="18"/>
        <color theme="1"/>
        <rFont val="Calibri"/>
        <family val="2"/>
        <scheme val="minor"/>
      </rPr>
      <t xml:space="preserve"> </t>
    </r>
  </si>
  <si>
    <r>
      <t>2</t>
    </r>
    <r>
      <rPr>
        <b/>
        <vertAlign val="superscript"/>
        <sz val="18"/>
        <color theme="1"/>
        <rFont val="Calibri"/>
        <family val="2"/>
        <scheme val="minor"/>
      </rPr>
      <t>nd</t>
    </r>
    <r>
      <rPr>
        <sz val="18"/>
        <color theme="1"/>
        <rFont val="Calibri"/>
        <family val="2"/>
        <scheme val="minor"/>
      </rPr>
      <t xml:space="preserve"> </t>
    </r>
  </si>
  <si>
    <r>
      <t>3</t>
    </r>
    <r>
      <rPr>
        <b/>
        <vertAlign val="superscript"/>
        <sz val="18"/>
        <color theme="1"/>
        <rFont val="Calibri"/>
        <family val="2"/>
        <scheme val="minor"/>
      </rPr>
      <t>rd</t>
    </r>
    <r>
      <rPr>
        <sz val="18"/>
        <color theme="1"/>
        <rFont val="Calibri"/>
        <family val="2"/>
        <scheme val="minor"/>
      </rPr>
      <t xml:space="preserve"> </t>
    </r>
  </si>
  <si>
    <r>
      <t>4</t>
    </r>
    <r>
      <rPr>
        <b/>
        <vertAlign val="superscript"/>
        <sz val="18"/>
        <color theme="1"/>
        <rFont val="Calibri"/>
        <family val="2"/>
        <scheme val="minor"/>
      </rPr>
      <t>th</t>
    </r>
    <r>
      <rPr>
        <sz val="18"/>
        <color theme="1"/>
        <rFont val="Calibri"/>
        <family val="2"/>
        <scheme val="minor"/>
      </rPr>
      <t xml:space="preserve"> </t>
    </r>
  </si>
  <si>
    <r>
      <t>5</t>
    </r>
    <r>
      <rPr>
        <b/>
        <vertAlign val="superscript"/>
        <sz val="18"/>
        <color theme="1"/>
        <rFont val="Calibri"/>
        <family val="2"/>
        <scheme val="minor"/>
      </rPr>
      <t>th</t>
    </r>
    <r>
      <rPr>
        <sz val="18"/>
        <color theme="1"/>
        <rFont val="Calibri"/>
        <family val="2"/>
        <scheme val="minor"/>
      </rPr>
      <t xml:space="preserve"> </t>
    </r>
  </si>
  <si>
    <t>Sows</t>
  </si>
  <si>
    <t>Boars</t>
  </si>
  <si>
    <t xml:space="preserve">Weaners </t>
  </si>
  <si>
    <t xml:space="preserve">Fatteners </t>
  </si>
  <si>
    <t>S. No</t>
  </si>
  <si>
    <t>Components</t>
  </si>
  <si>
    <t>Particulars</t>
  </si>
  <si>
    <t>Type of animal</t>
  </si>
  <si>
    <t>Improved Pigs (exotic)</t>
  </si>
  <si>
    <t xml:space="preserve">Large White Yorkshire </t>
  </si>
  <si>
    <t>Batches</t>
  </si>
  <si>
    <t>No. of  Breeding batches</t>
  </si>
  <si>
    <t>Interval between two batches</t>
  </si>
  <si>
    <t>3 months</t>
  </si>
  <si>
    <t>Space Requirement for shed (sft)</t>
  </si>
  <si>
    <t>Farrowing &amp; Weaning Details</t>
  </si>
  <si>
    <t>114 days</t>
  </si>
  <si>
    <t>6 months</t>
  </si>
  <si>
    <t xml:space="preserve">12 Kgs </t>
  </si>
  <si>
    <t xml:space="preserve">Feed Requirement </t>
  </si>
  <si>
    <t>Sale price of stock</t>
  </si>
  <si>
    <t>Insurance (% of value)</t>
  </si>
  <si>
    <t>Average monthly salary per family</t>
  </si>
  <si>
    <t>a) Culling of underperformers (%)</t>
  </si>
  <si>
    <t>b) Culling carried out after…</t>
  </si>
  <si>
    <t>2nd year</t>
  </si>
  <si>
    <t>c) Replacement of breeding stock</t>
  </si>
  <si>
    <t>Cost of equipment</t>
  </si>
  <si>
    <t xml:space="preserve">Sl no </t>
  </si>
  <si>
    <t xml:space="preserve">Type of animal </t>
  </si>
  <si>
    <t xml:space="preserve">Number of animals </t>
  </si>
  <si>
    <t xml:space="preserve">Cost /animal </t>
  </si>
  <si>
    <t xml:space="preserve">Gilt and boar </t>
  </si>
  <si>
    <t xml:space="preserve">Piglet </t>
  </si>
  <si>
    <t>Depreciation (%)</t>
  </si>
  <si>
    <t>a) Civil Structures</t>
  </si>
  <si>
    <t>b) Equipment</t>
  </si>
  <si>
    <t>Project Summary</t>
  </si>
  <si>
    <t>Sl no</t>
  </si>
  <si>
    <t>Parameter</t>
  </si>
  <si>
    <t>Details</t>
  </si>
  <si>
    <t>Unit Size</t>
  </si>
  <si>
    <t>100 Sows + 10 Boars</t>
  </si>
  <si>
    <t>Type of animals</t>
  </si>
  <si>
    <t>Exotic  Breed-Large white yorkshire</t>
  </si>
  <si>
    <t>Unit Cost (Rs.)</t>
  </si>
  <si>
    <t>Subsidy</t>
  </si>
  <si>
    <t>Bank Loan (Rs.)</t>
  </si>
  <si>
    <t>Repayment Period</t>
  </si>
  <si>
    <t>5 years including 1 year grace period</t>
  </si>
  <si>
    <t>Interest rate (% Per annum)</t>
  </si>
  <si>
    <t xml:space="preserve">IRR </t>
  </si>
  <si>
    <t>Techno-Economic Parameters</t>
  </si>
  <si>
    <t>Item</t>
  </si>
  <si>
    <t>Specification</t>
  </si>
  <si>
    <t>Physical Unit</t>
  </si>
  <si>
    <t>Total Cost</t>
  </si>
  <si>
    <t xml:space="preserve">Cost of Breeding Stock </t>
  </si>
  <si>
    <t>a) Sow</t>
  </si>
  <si>
    <t>LWY Crosses</t>
  </si>
  <si>
    <t>b) Boar</t>
  </si>
  <si>
    <t xml:space="preserve">LWY Crosses </t>
  </si>
  <si>
    <t>c) Transport Cost</t>
  </si>
  <si>
    <t xml:space="preserve">Pig Housing </t>
  </si>
  <si>
    <t>a) Boar pen</t>
  </si>
  <si>
    <t xml:space="preserve">80sft/sow  for 50 sows </t>
  </si>
  <si>
    <t>c) sow pen</t>
  </si>
  <si>
    <t>20 sft/ sow for 100 sows</t>
  </si>
  <si>
    <t>d) Farrowing Shed</t>
  </si>
  <si>
    <t>100 sft/ for 40 sows</t>
  </si>
  <si>
    <t>e) Growers Shed</t>
  </si>
  <si>
    <t>20 sft/ for 50 pigs</t>
  </si>
  <si>
    <t xml:space="preserve">g) Store room </t>
  </si>
  <si>
    <t xml:space="preserve">Other Facilities </t>
  </si>
  <si>
    <t>a) Water supply</t>
  </si>
  <si>
    <t>-</t>
  </si>
  <si>
    <t>b) Power connections</t>
  </si>
  <si>
    <t>c) Biosecurity (fence)</t>
  </si>
  <si>
    <t xml:space="preserve">Insurance </t>
  </si>
  <si>
    <t>7.5% of value of Breeders</t>
  </si>
  <si>
    <t xml:space="preserve">Miscellaneous </t>
  </si>
  <si>
    <t xml:space="preserve">Total Investment Cost </t>
  </si>
  <si>
    <t xml:space="preserve">Cost of medicines, vaccines, feed supplements in adults/year </t>
  </si>
  <si>
    <t>Cost of medicines, vaccines in young (farrow to finish)/year</t>
  </si>
  <si>
    <t>Labour families</t>
  </si>
  <si>
    <t xml:space="preserve">Electricity </t>
  </si>
  <si>
    <t>Medicines</t>
  </si>
  <si>
    <t>Recurring expenditure in 1st year</t>
  </si>
  <si>
    <r>
      <t>Feed
 (in MTs)</t>
    </r>
    <r>
      <rPr>
        <sz val="14"/>
        <color theme="1"/>
        <rFont val="Calibri"/>
        <family val="2"/>
        <scheme val="minor"/>
      </rPr>
      <t xml:space="preserve"> </t>
    </r>
  </si>
  <si>
    <r>
      <t>Waste</t>
    </r>
    <r>
      <rPr>
        <sz val="14"/>
        <color theme="1"/>
        <rFont val="Calibri"/>
        <family val="2"/>
        <scheme val="minor"/>
      </rPr>
      <t xml:space="preserve"> 
(In MTs) </t>
    </r>
  </si>
  <si>
    <r>
      <t>Waste</t>
    </r>
    <r>
      <rPr>
        <sz val="14"/>
        <color theme="1"/>
        <rFont val="Calibri"/>
        <family val="2"/>
        <scheme val="minor"/>
      </rPr>
      <t xml:space="preserve"> (In MTs) </t>
    </r>
  </si>
  <si>
    <r>
      <t>Feed 
(in MTs)</t>
    </r>
    <r>
      <rPr>
        <sz val="14"/>
        <color theme="1"/>
        <rFont val="Calibri"/>
        <family val="2"/>
        <scheme val="minor"/>
      </rPr>
      <t xml:space="preserve"> </t>
    </r>
  </si>
  <si>
    <r>
      <t xml:space="preserve">Waste
(In MTs) </t>
    </r>
    <r>
      <rPr>
        <sz val="14"/>
        <color theme="1"/>
        <rFont val="Calibri"/>
        <family val="2"/>
        <scheme val="minor"/>
      </rPr>
      <t xml:space="preserve"> </t>
    </r>
  </si>
  <si>
    <r>
      <t>Feed
 (in MTs)</t>
    </r>
    <r>
      <rPr>
        <sz val="12"/>
        <color theme="1"/>
        <rFont val="Calibri"/>
        <family val="2"/>
        <scheme val="minor"/>
      </rPr>
      <t xml:space="preserve"> </t>
    </r>
  </si>
  <si>
    <t>Margin Money (15% minimum) (Rs.)</t>
  </si>
  <si>
    <t>Cash Flow Analysis</t>
  </si>
  <si>
    <t xml:space="preserve">S. No </t>
  </si>
  <si>
    <t>Years</t>
  </si>
  <si>
    <t xml:space="preserve">First </t>
  </si>
  <si>
    <t>Second</t>
  </si>
  <si>
    <t>Third</t>
  </si>
  <si>
    <t>Five</t>
  </si>
  <si>
    <t>A</t>
  </si>
  <si>
    <t xml:space="preserve">COSTS </t>
  </si>
  <si>
    <t xml:space="preserve">Capital Cost </t>
  </si>
  <si>
    <t xml:space="preserve">Recurring Cost </t>
  </si>
  <si>
    <t xml:space="preserve">Concentrate Feed </t>
  </si>
  <si>
    <t>C</t>
  </si>
  <si>
    <t xml:space="preserve">Veterinary Medicines </t>
  </si>
  <si>
    <t>d</t>
  </si>
  <si>
    <t xml:space="preserve">Veterinary Services </t>
  </si>
  <si>
    <t>e</t>
  </si>
  <si>
    <t>f</t>
  </si>
  <si>
    <t xml:space="preserve">Labour Wages </t>
  </si>
  <si>
    <t>g</t>
  </si>
  <si>
    <t xml:space="preserve">Replacement of Breeders </t>
  </si>
  <si>
    <t>h</t>
  </si>
  <si>
    <t xml:space="preserve">Power charges </t>
  </si>
  <si>
    <t>j</t>
  </si>
  <si>
    <t xml:space="preserve">Transport costs </t>
  </si>
  <si>
    <t>BENEFITS</t>
  </si>
  <si>
    <t>Sale of Weaners</t>
  </si>
  <si>
    <t>Sale of Breeders</t>
  </si>
  <si>
    <t>Sale of manure</t>
  </si>
  <si>
    <t>Salvage of culled stock</t>
  </si>
  <si>
    <t>Total Benefits in Rupees</t>
  </si>
  <si>
    <t>Total Cost in Rupees</t>
  </si>
  <si>
    <r>
      <t>1</t>
    </r>
    <r>
      <rPr>
        <b/>
        <vertAlign val="superscript"/>
        <sz val="14"/>
        <color theme="1"/>
        <rFont val="Sree Krushnadevaraya"/>
      </rPr>
      <t>st</t>
    </r>
  </si>
  <si>
    <r>
      <t>2</t>
    </r>
    <r>
      <rPr>
        <b/>
        <vertAlign val="superscript"/>
        <sz val="14"/>
        <color theme="1"/>
        <rFont val="Sree Krushnadevaraya"/>
      </rPr>
      <t>nd</t>
    </r>
  </si>
  <si>
    <r>
      <t>3</t>
    </r>
    <r>
      <rPr>
        <b/>
        <vertAlign val="superscript"/>
        <sz val="14"/>
        <color theme="1"/>
        <rFont val="Sree Krushnadevaraya"/>
      </rPr>
      <t>rd</t>
    </r>
  </si>
  <si>
    <r>
      <t>4</t>
    </r>
    <r>
      <rPr>
        <b/>
        <vertAlign val="superscript"/>
        <sz val="14"/>
        <color theme="1"/>
        <rFont val="Sree Krushnadevaraya"/>
      </rPr>
      <t>th</t>
    </r>
  </si>
  <si>
    <r>
      <t>5</t>
    </r>
    <r>
      <rPr>
        <b/>
        <vertAlign val="superscript"/>
        <sz val="14"/>
        <color theme="1"/>
        <rFont val="Sree Krushnadevaraya"/>
      </rPr>
      <t>th</t>
    </r>
  </si>
  <si>
    <t>Category</t>
  </si>
  <si>
    <t>Adult</t>
  </si>
  <si>
    <t>Number</t>
  </si>
  <si>
    <t xml:space="preserve">No of days </t>
  </si>
  <si>
    <t>Breeders</t>
  </si>
  <si>
    <t>Fatteners</t>
  </si>
  <si>
    <t>Qty of manure produced/day</t>
  </si>
  <si>
    <t xml:space="preserve">Total qty </t>
  </si>
  <si>
    <t>Insurance Claim</t>
  </si>
  <si>
    <t>Sale of Fatteners</t>
  </si>
  <si>
    <t>IRR</t>
  </si>
  <si>
    <t xml:space="preserve">Depreciation </t>
  </si>
  <si>
    <t>Year</t>
  </si>
  <si>
    <t>Book value at the beginning of the year</t>
  </si>
  <si>
    <t>Depreciation expense</t>
  </si>
  <si>
    <t>Book value of Asset at the end of the year</t>
  </si>
  <si>
    <t>Net Present Value (NPV),Internal Rate of return(IRR) &amp; Benefit cost ration</t>
  </si>
  <si>
    <t>Year-1</t>
  </si>
  <si>
    <t>Year-2</t>
  </si>
  <si>
    <t>Year-3</t>
  </si>
  <si>
    <t>Year-4</t>
  </si>
  <si>
    <t>Total Income</t>
  </si>
  <si>
    <t>Depriciation rate(%)</t>
  </si>
  <si>
    <t>Expenditure</t>
  </si>
  <si>
    <t>Gross Profit (Rs)</t>
  </si>
  <si>
    <t>Principal (Rs)</t>
  </si>
  <si>
    <t>Instalment (Rs)</t>
  </si>
  <si>
    <t>I</t>
  </si>
  <si>
    <t>II</t>
  </si>
  <si>
    <t>III</t>
  </si>
  <si>
    <t>IV</t>
  </si>
  <si>
    <t>V</t>
  </si>
  <si>
    <t>VI</t>
  </si>
  <si>
    <t>Discount Factor</t>
  </si>
  <si>
    <t>NPV &amp; IRR:</t>
  </si>
  <si>
    <t>Cash Flow</t>
  </si>
  <si>
    <t>Present Value</t>
  </si>
  <si>
    <t>Present Value of Benefits</t>
  </si>
  <si>
    <t>Present Value of Costs</t>
  </si>
  <si>
    <t>NPV</t>
  </si>
  <si>
    <t>BCR</t>
  </si>
  <si>
    <t>CERTIFICATE</t>
  </si>
  <si>
    <t>The prices mentioned in this report are as per the prevailing market prices of the respective items.</t>
  </si>
  <si>
    <t>56 days</t>
  </si>
  <si>
    <t>70 Kgs</t>
  </si>
  <si>
    <t>As and when required</t>
  </si>
  <si>
    <t>Income from sale of manure/MT</t>
  </si>
  <si>
    <t>100 Kgs</t>
  </si>
  <si>
    <t>80 Kgs</t>
  </si>
  <si>
    <t>50+5</t>
  </si>
  <si>
    <t>Piglets Born</t>
  </si>
  <si>
    <t>Weaners sold</t>
  </si>
  <si>
    <t>Breeders Sold</t>
  </si>
  <si>
    <t>Fatteners Sold</t>
  </si>
  <si>
    <t>Weaner/Piglet Balance</t>
  </si>
  <si>
    <t>Breeder Balance</t>
  </si>
  <si>
    <t>Fatteners Balance</t>
  </si>
  <si>
    <t>Month</t>
  </si>
  <si>
    <t>1B</t>
  </si>
  <si>
    <t>2B</t>
  </si>
  <si>
    <t>D</t>
  </si>
  <si>
    <t>P</t>
  </si>
  <si>
    <t>P/N</t>
  </si>
  <si>
    <t>N</t>
  </si>
  <si>
    <t>N/D</t>
  </si>
  <si>
    <t>Feed</t>
  </si>
  <si>
    <t>Garbage</t>
  </si>
  <si>
    <t>Feed in MTs</t>
  </si>
  <si>
    <t>Garbage in MTs</t>
  </si>
  <si>
    <t>W</t>
  </si>
  <si>
    <t>Sixth</t>
  </si>
  <si>
    <r>
      <t>6</t>
    </r>
    <r>
      <rPr>
        <b/>
        <vertAlign val="superscript"/>
        <sz val="18"/>
        <color theme="1"/>
        <rFont val="Calibri"/>
        <family val="2"/>
        <scheme val="minor"/>
      </rPr>
      <t>th</t>
    </r>
    <r>
      <rPr>
        <sz val="18"/>
        <color theme="1"/>
        <rFont val="Calibri"/>
        <family val="2"/>
        <scheme val="minor"/>
      </rPr>
      <t xml:space="preserve"> </t>
    </r>
  </si>
  <si>
    <t>Year-5</t>
  </si>
  <si>
    <t>Year-6</t>
  </si>
  <si>
    <t>9 to 10</t>
  </si>
  <si>
    <t xml:space="preserve">b) Lactating sow with piglets  </t>
  </si>
  <si>
    <t xml:space="preserve">f) Sick animal/quarantine Shed </t>
  </si>
  <si>
    <t>Balance Income (Rs)</t>
  </si>
  <si>
    <t>Stock value</t>
  </si>
  <si>
    <t>Sow</t>
  </si>
  <si>
    <t>Boar</t>
  </si>
  <si>
    <t>Veterinary services for stock per annum</t>
  </si>
  <si>
    <t>Note:</t>
  </si>
  <si>
    <t xml:space="preserve">Breeding Boars / sows will be purchased and replaced into the stock  whenever required from the realised  insurance claim amount/ salvage value </t>
  </si>
  <si>
    <t xml:space="preserve">6th </t>
  </si>
  <si>
    <t xml:space="preserve">NPV Cumulative </t>
  </si>
  <si>
    <t>NA</t>
  </si>
  <si>
    <t>The project is technically feasible and economically viable subject to  proper care and management by the entrepreneur.</t>
  </si>
  <si>
    <t xml:space="preserve">NPW@12% DF (Rs.) </t>
  </si>
  <si>
    <t xml:space="preserve">BCR@12% </t>
  </si>
  <si>
    <t>i</t>
  </si>
  <si>
    <t>Depreciation on civil structures</t>
  </si>
  <si>
    <t xml:space="preserve">సంవత్సరం </t>
  </si>
  <si>
    <t xml:space="preserve">పుట్టిన పంది పిల్లల సంఖ్య </t>
  </si>
  <si>
    <t xml:space="preserve">పిల్లల మరణాల సంఖ్య </t>
  </si>
  <si>
    <t xml:space="preserve">మిగిలిన పిల్లలు </t>
  </si>
  <si>
    <t>తిన్న మేత (టన్ను )</t>
  </si>
  <si>
    <t xml:space="preserve">లేబర్ ఖర్చు  (5  కుటుంబాలు )20000/కుటుంబం </t>
  </si>
  <si>
    <t>మందుల ఖర్చు (200/పిల్ల)</t>
  </si>
  <si>
    <t xml:space="preserve">మొత్తం ఖర్చు </t>
  </si>
  <si>
    <t xml:space="preserve">నిఖర ఆదాయం </t>
  </si>
  <si>
    <t xml:space="preserve">వీనర్లు </t>
  </si>
  <si>
    <t xml:space="preserve">24. 300 </t>
  </si>
  <si>
    <t xml:space="preserve">బ్రీడర్లు </t>
  </si>
  <si>
    <t xml:space="preserve">523. 260 </t>
  </si>
  <si>
    <t xml:space="preserve">ఫేటనర్లు </t>
  </si>
  <si>
    <t xml:space="preserve"> అమ్మగా వచ్చే ఆదాయం </t>
  </si>
  <si>
    <t xml:space="preserve">గార్బేజ్ మేత ఖర్చు </t>
  </si>
  <si>
    <t xml:space="preserve">Moratlity </t>
  </si>
  <si>
    <t xml:space="preserve">Sold out /Culling </t>
  </si>
  <si>
    <t>Purchased /Replaced</t>
  </si>
  <si>
    <t xml:space="preserve">పెద్ద పందుల మెతకు అయ్యే ఖర్చు </t>
  </si>
  <si>
    <t xml:space="preserve">Cost of animals at purchase including insurance </t>
  </si>
  <si>
    <t xml:space="preserve">Total Recuring Cost in Rupees </t>
  </si>
  <si>
    <t>Breeders (Kg/day)</t>
  </si>
  <si>
    <t>Weaners (Kg/day) for 60 days</t>
  </si>
  <si>
    <t>Sows (Kg/day)</t>
  </si>
  <si>
    <t>Boars (Kg/day)</t>
  </si>
  <si>
    <t>Fatteners (Kg/day) Supplement</t>
  </si>
  <si>
    <t>waste (Kg/Day) to fatteners</t>
  </si>
  <si>
    <t>Average cost of concentrate feed in Rs/MT (Weaner/ Grower/Finisher)</t>
  </si>
  <si>
    <t>Cost of hotel waste including procurement in Rs/MT</t>
  </si>
  <si>
    <t xml:space="preserve">a. </t>
  </si>
  <si>
    <t xml:space="preserve">b. </t>
  </si>
  <si>
    <t xml:space="preserve">c. </t>
  </si>
  <si>
    <t xml:space="preserve">d. </t>
  </si>
  <si>
    <t xml:space="preserve">e. </t>
  </si>
  <si>
    <t xml:space="preserve">f. </t>
  </si>
  <si>
    <t>Gestation period</t>
  </si>
  <si>
    <t>Farrowing interval</t>
  </si>
  <si>
    <t>No. of farrowings per year</t>
  </si>
  <si>
    <t xml:space="preserve">Litter size at birth </t>
  </si>
  <si>
    <t>Weaning size</t>
  </si>
  <si>
    <t>Mortality in piglets</t>
  </si>
  <si>
    <t>Weaning period</t>
  </si>
  <si>
    <t>Weaning weight</t>
  </si>
  <si>
    <t>Mortality ( weaners to Breeder/Fattener)</t>
  </si>
  <si>
    <t>Mortality of Adults (Sow/Boar)</t>
  </si>
  <si>
    <t>Fattener weight</t>
  </si>
  <si>
    <t xml:space="preserve">Gilt weight </t>
  </si>
  <si>
    <t>Boar weight</t>
  </si>
  <si>
    <t>g.</t>
  </si>
  <si>
    <t>Gilts ( 8 months, average weight 80 Kg)@300rs /kg</t>
  </si>
  <si>
    <t>Boars (8 months, average weight 80-90 Kg)</t>
  </si>
  <si>
    <t>Sale price of growers for breeding (max 8 months) in Rs</t>
  </si>
  <si>
    <t>salvage value of Culled adults ( average weight 150 Kg) in Rs</t>
  </si>
  <si>
    <t xml:space="preserve">Sale price of weaners </t>
  </si>
  <si>
    <t>Sale price of finished pigs (Body weight basis)-fatteners - Rs 200/Kg</t>
  </si>
  <si>
    <t>Percentage of pigs sold as weaners</t>
  </si>
  <si>
    <t>Percentage of pigs sold as fatteners</t>
  </si>
  <si>
    <t>Percentage of pigs sold as breeders</t>
  </si>
  <si>
    <t>Boar @ 70Sft    Rs./sft</t>
  </si>
  <si>
    <t>Sow @ 20sft      Rs./sft</t>
  </si>
  <si>
    <t>Farrowing pen @ 80sft      Rs./sft</t>
  </si>
  <si>
    <t>Lactating sow shed @ 80sft    Rs./sft</t>
  </si>
  <si>
    <t>Weaners/ Growers/ Fatteners@10sft   Rs./sft</t>
  </si>
  <si>
    <t>Sick animals @ 20sft      Rs./sft</t>
  </si>
  <si>
    <t>Store room 500sft   Rs./sft</t>
  </si>
  <si>
    <t>k</t>
  </si>
  <si>
    <t>l</t>
  </si>
  <si>
    <t>m</t>
  </si>
  <si>
    <t>n</t>
  </si>
  <si>
    <t>o</t>
  </si>
  <si>
    <t>p</t>
  </si>
  <si>
    <t>q</t>
  </si>
  <si>
    <t>r</t>
  </si>
  <si>
    <t>s</t>
  </si>
  <si>
    <t>Piggery  (100+10 ) Project Report</t>
  </si>
  <si>
    <t>Unit Cost
(Rs./Unit)</t>
  </si>
  <si>
    <t>70 sft/ for 10 boars</t>
  </si>
  <si>
    <t xml:space="preserve">10 sft/ for 1800 growers </t>
  </si>
  <si>
    <t xml:space="preserve">d) Cost of equipment </t>
  </si>
  <si>
    <t xml:space="preserve">e) Equipment for piglets </t>
  </si>
  <si>
    <t>Total Cost of civil structures=</t>
  </si>
  <si>
    <t>Total cost@1500/kg</t>
  </si>
  <si>
    <t xml:space="preserve">Manure Production </t>
  </si>
  <si>
    <t>Units</t>
  </si>
  <si>
    <t>Price</t>
  </si>
  <si>
    <t>Total</t>
  </si>
  <si>
    <t>Feeding Expenses</t>
  </si>
  <si>
    <t xml:space="preserve">Waste/Hotel Garbage </t>
  </si>
  <si>
    <t>a) Concentrate MTs (As per category)</t>
  </si>
  <si>
    <t>b) waste (As per category)</t>
  </si>
  <si>
    <t>Labour(families) Semi-skilled</t>
  </si>
  <si>
    <t>a) adult (Vaccine &amp; deworming )</t>
  </si>
  <si>
    <t>b) Grower (Vaccine &amp; deworming )</t>
  </si>
  <si>
    <t>Veterinary Services (Fortnightly Visit)</t>
  </si>
  <si>
    <t>Net Benefit in Rupees         
(Total Benefit - Total Costs)</t>
  </si>
  <si>
    <t xml:space="preserve">వంట గది వ్యర్ధాలు </t>
  </si>
  <si>
    <t>మేత ఖర్చు
(కిలో 25 /-)</t>
  </si>
  <si>
    <t>Gross profit</t>
  </si>
  <si>
    <t>Interest (Rs)(12%)</t>
  </si>
  <si>
    <t>Total Cost for pigs purchase</t>
  </si>
  <si>
    <t>Total Cost of civil structures</t>
  </si>
  <si>
    <t>Depreciation on Equipment</t>
  </si>
  <si>
    <t>Asset value after Depreciation of civil structures</t>
  </si>
  <si>
    <t>Equipment  value after Depreciation of civil structures</t>
  </si>
</sst>
</file>

<file path=xl/styles.xml><?xml version="1.0" encoding="utf-8"?>
<styleSheet xmlns="http://schemas.openxmlformats.org/spreadsheetml/2006/main">
  <numFmts count="4">
    <numFmt numFmtId="164" formatCode="&quot;₹&quot;\ #,##0.00;[Red]&quot;₹&quot;\ \-#,##0.00"/>
    <numFmt numFmtId="165" formatCode="_ * #,##0.00_ ;_ * \-#,##0.00_ ;_ * &quot;-&quot;??_ ;_ @_ "/>
    <numFmt numFmtId="166" formatCode="_ &quot;₹&quot;\ * #,##0_ ;_ &quot;₹&quot;\ * \-#,##0_ ;_ &quot;₹&quot;\ * &quot;-&quot;??_ ;_ @_ "/>
    <numFmt numFmtId="167" formatCode="0.000"/>
  </numFmts>
  <fonts count="4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2"/>
      <color theme="1"/>
      <name val="Sree Krushnadevaraya"/>
    </font>
    <font>
      <sz val="12"/>
      <color theme="1"/>
      <name val="Sree Krushnadevaraya"/>
    </font>
    <font>
      <b/>
      <sz val="14"/>
      <color theme="1"/>
      <name val="Sree Krushnadevaraya"/>
    </font>
    <font>
      <sz val="14"/>
      <color theme="1"/>
      <name val="Sree Krushnadevaraya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Sree Krushnadevaraya"/>
    </font>
    <font>
      <b/>
      <sz val="16"/>
      <color theme="1"/>
      <name val="Calibri"/>
      <family val="2"/>
      <scheme val="minor"/>
    </font>
    <font>
      <sz val="14"/>
      <color rgb="FFFF0000"/>
      <name val="Sree Krushnadevaraya"/>
    </font>
    <font>
      <b/>
      <vertAlign val="superscript"/>
      <sz val="14"/>
      <color theme="1"/>
      <name val="Sree Krushnadevaraya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Sree Krushnadevaraya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u/>
      <sz val="11"/>
      <color rgb="FF000000"/>
      <name val="Tahoma"/>
      <family val="2"/>
    </font>
    <font>
      <sz val="12"/>
      <color rgb="FF000000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b/>
      <sz val="10"/>
      <color theme="3" tint="-0.499984740745262"/>
      <name val="Calibri"/>
      <family val="2"/>
    </font>
    <font>
      <sz val="16"/>
      <color theme="1"/>
      <name val="Sree Krushnadevaraya"/>
    </font>
    <font>
      <b/>
      <sz val="11"/>
      <color theme="1"/>
      <name val="Sree Krushnadevaraya"/>
    </font>
    <font>
      <b/>
      <sz val="14"/>
      <color rgb="FFC00000"/>
      <name val="Calibri"/>
      <family val="2"/>
      <scheme val="minor"/>
    </font>
    <font>
      <b/>
      <sz val="14"/>
      <color rgb="FF00B050"/>
      <name val="Sree Krushnadevaraya"/>
    </font>
    <font>
      <b/>
      <sz val="11"/>
      <color rgb="FFFF0000"/>
      <name val="Calibri"/>
      <family val="2"/>
      <scheme val="minor"/>
    </font>
    <font>
      <b/>
      <vertAlign val="superscript"/>
      <sz val="18"/>
      <color theme="1"/>
      <name val="Sree Krushnadevaraya"/>
    </font>
    <font>
      <u/>
      <sz val="11"/>
      <color theme="10"/>
      <name val="Calibri"/>
      <family val="2"/>
    </font>
    <font>
      <b/>
      <sz val="10"/>
      <color theme="1"/>
      <name val="Sree Krushnadevaraya"/>
    </font>
    <font>
      <sz val="10"/>
      <color theme="1"/>
      <name val="Sree Krushnadevaraya"/>
    </font>
    <font>
      <b/>
      <sz val="10"/>
      <name val="Sree Krushnadevaraya"/>
    </font>
    <font>
      <b/>
      <sz val="10"/>
      <color rgb="FFFF0000"/>
      <name val="Sree Krushnadevaraya"/>
    </font>
    <font>
      <b/>
      <sz val="14"/>
      <color rgb="FFFF0000"/>
      <name val="Calibri"/>
      <family val="2"/>
      <scheme val="minor"/>
    </font>
    <font>
      <sz val="16"/>
      <color rgb="FFFF0000"/>
      <name val="Sree Krushnadevaraya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29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</cellStyleXfs>
  <cellXfs count="387">
    <xf numFmtId="0" fontId="0" fillId="0" borderId="0" xfId="0"/>
    <xf numFmtId="0" fontId="2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9" fontId="13" fillId="0" borderId="5" xfId="0" applyNumberFormat="1" applyFont="1" applyBorder="1" applyAlignment="1">
      <alignment horizontal="left" wrapText="1"/>
    </xf>
    <xf numFmtId="10" fontId="13" fillId="0" borderId="5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3" fontId="11" fillId="0" borderId="5" xfId="0" applyNumberFormat="1" applyFont="1" applyBorder="1" applyAlignment="1">
      <alignment horizontal="left" vertical="top" wrapText="1"/>
    </xf>
    <xf numFmtId="9" fontId="11" fillId="0" borderId="5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3" fontId="13" fillId="0" borderId="5" xfId="0" applyNumberFormat="1" applyFont="1" applyBorder="1" applyAlignment="1">
      <alignment horizontal="left" wrapText="1"/>
    </xf>
    <xf numFmtId="0" fontId="14" fillId="0" borderId="5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3" fontId="13" fillId="0" borderId="5" xfId="0" applyNumberFormat="1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9" fontId="18" fillId="0" borderId="5" xfId="0" applyNumberFormat="1" applyFont="1" applyBorder="1" applyAlignment="1">
      <alignment horizontal="left" wrapText="1"/>
    </xf>
    <xf numFmtId="3" fontId="18" fillId="0" borderId="5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9" fontId="18" fillId="0" borderId="5" xfId="0" applyNumberFormat="1" applyFont="1" applyBorder="1" applyAlignment="1">
      <alignment horizontal="left" vertical="top" wrapText="1"/>
    </xf>
    <xf numFmtId="0" fontId="5" fillId="0" borderId="0" xfId="0" applyFont="1"/>
    <xf numFmtId="0" fontId="13" fillId="0" borderId="3" xfId="0" applyFont="1" applyBorder="1" applyAlignment="1">
      <alignment vertical="top" wrapText="1"/>
    </xf>
    <xf numFmtId="0" fontId="13" fillId="0" borderId="0" xfId="0" applyFont="1"/>
    <xf numFmtId="0" fontId="0" fillId="0" borderId="7" xfId="0" applyBorder="1"/>
    <xf numFmtId="0" fontId="5" fillId="0" borderId="7" xfId="0" applyFont="1" applyBorder="1"/>
    <xf numFmtId="0" fontId="21" fillId="0" borderId="7" xfId="0" applyFont="1" applyBorder="1"/>
    <xf numFmtId="3" fontId="0" fillId="0" borderId="0" xfId="0" applyNumberFormat="1"/>
    <xf numFmtId="3" fontId="5" fillId="0" borderId="7" xfId="0" applyNumberFormat="1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/>
    <xf numFmtId="3" fontId="5" fillId="0" borderId="23" xfId="0" applyNumberFormat="1" applyFont="1" applyBorder="1"/>
    <xf numFmtId="0" fontId="4" fillId="0" borderId="24" xfId="0" applyFont="1" applyBorder="1"/>
    <xf numFmtId="0" fontId="5" fillId="0" borderId="25" xfId="0" applyFont="1" applyBorder="1"/>
    <xf numFmtId="3" fontId="5" fillId="0" borderId="26" xfId="0" applyNumberFormat="1" applyFont="1" applyBorder="1"/>
    <xf numFmtId="164" fontId="0" fillId="0" borderId="0" xfId="0" applyNumberFormat="1"/>
    <xf numFmtId="0" fontId="2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7" xfId="0" applyFont="1" applyBorder="1"/>
    <xf numFmtId="0" fontId="23" fillId="0" borderId="0" xfId="0" applyFont="1" applyFill="1" applyBorder="1"/>
    <xf numFmtId="0" fontId="23" fillId="0" borderId="7" xfId="0" applyFont="1" applyFill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0" fontId="0" fillId="0" borderId="0" xfId="0" applyBorder="1"/>
    <xf numFmtId="0" fontId="24" fillId="0" borderId="7" xfId="0" applyFont="1" applyBorder="1"/>
    <xf numFmtId="0" fontId="23" fillId="0" borderId="8" xfId="0" applyFont="1" applyBorder="1"/>
    <xf numFmtId="9" fontId="0" fillId="0" borderId="0" xfId="0" applyNumberFormat="1" applyBorder="1"/>
    <xf numFmtId="1" fontId="0" fillId="0" borderId="0" xfId="0" applyNumberFormat="1"/>
    <xf numFmtId="9" fontId="23" fillId="0" borderId="7" xfId="0" applyNumberFormat="1" applyFont="1" applyBorder="1"/>
    <xf numFmtId="167" fontId="23" fillId="0" borderId="7" xfId="0" applyNumberFormat="1" applyFont="1" applyBorder="1"/>
    <xf numFmtId="0" fontId="0" fillId="0" borderId="0" xfId="0" applyFill="1" applyBorder="1" applyAlignment="1">
      <alignment horizontal="left" vertical="top"/>
    </xf>
    <xf numFmtId="16" fontId="13" fillId="0" borderId="5" xfId="0" applyNumberFormat="1" applyFont="1" applyBorder="1" applyAlignment="1">
      <alignment horizontal="left" wrapText="1"/>
    </xf>
    <xf numFmtId="0" fontId="27" fillId="6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8" xfId="0" quotePrefix="1" applyFont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/>
    </xf>
    <xf numFmtId="0" fontId="27" fillId="9" borderId="7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27" fillId="10" borderId="7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7" fillId="11" borderId="7" xfId="0" applyFont="1" applyFill="1" applyBorder="1" applyAlignment="1">
      <alignment horizontal="center" vertical="center"/>
    </xf>
    <xf numFmtId="0" fontId="27" fillId="12" borderId="7" xfId="0" applyFont="1" applyFill="1" applyBorder="1" applyAlignment="1">
      <alignment horizontal="center" vertical="center"/>
    </xf>
    <xf numFmtId="0" fontId="27" fillId="13" borderId="7" xfId="0" applyFont="1" applyFill="1" applyBorder="1" applyAlignment="1">
      <alignment horizontal="center" vertical="center"/>
    </xf>
    <xf numFmtId="0" fontId="27" fillId="14" borderId="7" xfId="0" applyFont="1" applyFill="1" applyBorder="1" applyAlignment="1">
      <alignment horizontal="center" vertical="center"/>
    </xf>
    <xf numFmtId="0" fontId="27" fillId="9" borderId="7" xfId="0" applyFont="1" applyFill="1" applyBorder="1" applyAlignment="1">
      <alignment vertical="center"/>
    </xf>
    <xf numFmtId="0" fontId="27" fillId="9" borderId="10" xfId="0" applyFont="1" applyFill="1" applyBorder="1" applyAlignment="1">
      <alignment vertical="center"/>
    </xf>
    <xf numFmtId="0" fontId="27" fillId="3" borderId="7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0" fontId="27" fillId="15" borderId="7" xfId="0" applyFont="1" applyFill="1" applyBorder="1" applyAlignment="1">
      <alignment horizontal="center" vertical="center"/>
    </xf>
    <xf numFmtId="0" fontId="27" fillId="16" borderId="7" xfId="0" applyFont="1" applyFill="1" applyBorder="1" applyAlignment="1">
      <alignment horizontal="center" vertical="center"/>
    </xf>
    <xf numFmtId="0" fontId="27" fillId="9" borderId="0" xfId="0" applyFont="1" applyFill="1" applyAlignment="1">
      <alignment vertical="center"/>
    </xf>
    <xf numFmtId="0" fontId="27" fillId="0" borderId="11" xfId="0" applyFont="1" applyBorder="1" applyAlignment="1">
      <alignment vertical="center"/>
    </xf>
    <xf numFmtId="0" fontId="27" fillId="6" borderId="11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31" fillId="0" borderId="7" xfId="0" applyFont="1" applyBorder="1" applyAlignment="1">
      <alignment vertical="top" wrapText="1"/>
    </xf>
    <xf numFmtId="0" fontId="1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32" fillId="8" borderId="7" xfId="0" applyFont="1" applyFill="1" applyBorder="1" applyAlignment="1">
      <alignment horizontal="left" vertical="center" wrapText="1"/>
    </xf>
    <xf numFmtId="0" fontId="32" fillId="8" borderId="8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4" borderId="8" xfId="0" applyFont="1" applyFill="1" applyBorder="1" applyAlignment="1">
      <alignment horizontal="left" vertical="center" wrapText="1"/>
    </xf>
    <xf numFmtId="0" fontId="34" fillId="4" borderId="7" xfId="0" applyFont="1" applyFill="1" applyBorder="1" applyAlignment="1">
      <alignment horizontal="left" vertical="center" wrapText="1"/>
    </xf>
    <xf numFmtId="0" fontId="32" fillId="5" borderId="7" xfId="0" applyFont="1" applyFill="1" applyBorder="1" applyAlignment="1">
      <alignment horizontal="left" vertical="center" wrapText="1"/>
    </xf>
    <xf numFmtId="0" fontId="35" fillId="5" borderId="7" xfId="0" applyFont="1" applyFill="1" applyBorder="1" applyAlignment="1">
      <alignment horizontal="left" vertical="center" wrapText="1"/>
    </xf>
    <xf numFmtId="0" fontId="32" fillId="5" borderId="8" xfId="0" applyFont="1" applyFill="1" applyBorder="1" applyAlignment="1">
      <alignment horizontal="left" vertical="center" wrapText="1"/>
    </xf>
    <xf numFmtId="0" fontId="33" fillId="2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0" fontId="7" fillId="0" borderId="22" xfId="0" applyFont="1" applyBorder="1" applyAlignment="1">
      <alignment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vertical="top" wrapText="1"/>
    </xf>
    <xf numFmtId="0" fontId="8" fillId="0" borderId="25" xfId="0" applyFont="1" applyFill="1" applyBorder="1" applyAlignment="1">
      <alignment horizontal="left" vertical="top" wrapText="1"/>
    </xf>
    <xf numFmtId="0" fontId="8" fillId="0" borderId="25" xfId="0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7" fillId="0" borderId="26" xfId="0" applyFont="1" applyFill="1" applyBorder="1" applyAlignment="1">
      <alignment horizontal="left" vertical="top" wrapText="1"/>
    </xf>
    <xf numFmtId="0" fontId="21" fillId="0" borderId="22" xfId="0" applyFont="1" applyBorder="1"/>
    <xf numFmtId="0" fontId="21" fillId="0" borderId="24" xfId="0" applyFont="1" applyBorder="1"/>
    <xf numFmtId="0" fontId="21" fillId="0" borderId="25" xfId="0" applyFont="1" applyBorder="1"/>
    <xf numFmtId="3" fontId="23" fillId="0" borderId="7" xfId="0" applyNumberFormat="1" applyFont="1" applyFill="1" applyBorder="1"/>
    <xf numFmtId="0" fontId="5" fillId="0" borderId="0" xfId="0" applyFont="1" applyBorder="1"/>
    <xf numFmtId="0" fontId="0" fillId="0" borderId="11" xfId="0" applyBorder="1"/>
    <xf numFmtId="0" fontId="5" fillId="0" borderId="11" xfId="0" applyFont="1" applyBorder="1"/>
    <xf numFmtId="0" fontId="0" fillId="0" borderId="22" xfId="0" applyBorder="1"/>
    <xf numFmtId="3" fontId="38" fillId="0" borderId="20" xfId="0" applyNumberFormat="1" applyFont="1" applyBorder="1"/>
    <xf numFmtId="3" fontId="38" fillId="0" borderId="7" xfId="0" applyNumberFormat="1" applyFont="1" applyBorder="1"/>
    <xf numFmtId="0" fontId="38" fillId="0" borderId="7" xfId="0" applyFont="1" applyBorder="1"/>
    <xf numFmtId="0" fontId="38" fillId="0" borderId="19" xfId="0" applyFont="1" applyBorder="1"/>
    <xf numFmtId="9" fontId="38" fillId="0" borderId="20" xfId="0" applyNumberFormat="1" applyFont="1" applyBorder="1"/>
    <xf numFmtId="0" fontId="38" fillId="0" borderId="20" xfId="0" applyFont="1" applyBorder="1"/>
    <xf numFmtId="3" fontId="39" fillId="0" borderId="7" xfId="0" applyNumberFormat="1" applyFont="1" applyBorder="1" applyAlignment="1">
      <alignment wrapText="1"/>
    </xf>
    <xf numFmtId="0" fontId="0" fillId="0" borderId="10" xfId="0" applyBorder="1"/>
    <xf numFmtId="0" fontId="5" fillId="0" borderId="10" xfId="0" applyFont="1" applyBorder="1"/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/>
    <xf numFmtId="9" fontId="0" fillId="0" borderId="0" xfId="0" applyNumberFormat="1"/>
    <xf numFmtId="10" fontId="0" fillId="0" borderId="0" xfId="0" applyNumberFormat="1"/>
    <xf numFmtId="0" fontId="31" fillId="0" borderId="7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164" fontId="0" fillId="0" borderId="0" xfId="0" applyNumberFormat="1" applyBorder="1"/>
    <xf numFmtId="0" fontId="31" fillId="0" borderId="0" xfId="0" applyFont="1" applyFill="1" applyBorder="1" applyAlignment="1">
      <alignment horizontal="right" vertical="top" wrapText="1"/>
    </xf>
    <xf numFmtId="0" fontId="5" fillId="0" borderId="6" xfId="0" applyFont="1" applyBorder="1" applyAlignment="1">
      <alignment wrapText="1"/>
    </xf>
    <xf numFmtId="0" fontId="12" fillId="0" borderId="30" xfId="0" applyFont="1" applyBorder="1" applyAlignment="1">
      <alignment vertical="center" wrapText="1"/>
    </xf>
    <xf numFmtId="0" fontId="5" fillId="0" borderId="30" xfId="0" applyFont="1" applyBorder="1" applyAlignment="1">
      <alignment wrapText="1"/>
    </xf>
    <xf numFmtId="3" fontId="13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vertical="center" wrapText="1"/>
    </xf>
    <xf numFmtId="0" fontId="5" fillId="0" borderId="19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0" fillId="0" borderId="23" xfId="0" applyBorder="1"/>
    <xf numFmtId="0" fontId="13" fillId="0" borderId="22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3" fontId="13" fillId="0" borderId="25" xfId="0" applyNumberFormat="1" applyFont="1" applyBorder="1" applyAlignment="1">
      <alignment wrapText="1"/>
    </xf>
    <xf numFmtId="0" fontId="12" fillId="0" borderId="3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41" fillId="0" borderId="20" xfId="0" applyFont="1" applyBorder="1" applyAlignment="1">
      <alignment horizontal="center" vertical="center" wrapText="1"/>
    </xf>
    <xf numFmtId="3" fontId="13" fillId="0" borderId="18" xfId="0" applyNumberFormat="1" applyFont="1" applyBorder="1" applyAlignment="1">
      <alignment vertical="top" wrapText="1"/>
    </xf>
    <xf numFmtId="3" fontId="39" fillId="0" borderId="7" xfId="0" applyNumberFormat="1" applyFont="1" applyBorder="1"/>
    <xf numFmtId="166" fontId="23" fillId="0" borderId="7" xfId="0" applyNumberFormat="1" applyFont="1" applyFill="1" applyBorder="1" applyAlignment="1">
      <alignment horizontal="center" vertical="center" wrapText="1"/>
    </xf>
    <xf numFmtId="0" fontId="42" fillId="0" borderId="5" xfId="2" applyBorder="1" applyAlignment="1" applyProtection="1">
      <alignment horizontal="left" vertical="top" wrapText="1"/>
    </xf>
    <xf numFmtId="0" fontId="13" fillId="0" borderId="15" xfId="0" applyFont="1" applyBorder="1" applyAlignment="1">
      <alignment vertical="top" wrapText="1"/>
    </xf>
    <xf numFmtId="3" fontId="13" fillId="0" borderId="15" xfId="0" applyNumberFormat="1" applyFont="1" applyBorder="1" applyAlignment="1">
      <alignment vertical="top" wrapText="1"/>
    </xf>
    <xf numFmtId="0" fontId="36" fillId="0" borderId="33" xfId="0" applyFont="1" applyFill="1" applyBorder="1" applyAlignment="1">
      <alignment vertical="top" wrapText="1"/>
    </xf>
    <xf numFmtId="0" fontId="13" fillId="0" borderId="34" xfId="0" applyFont="1" applyFill="1" applyBorder="1" applyAlignment="1">
      <alignment vertical="top" wrapText="1"/>
    </xf>
    <xf numFmtId="0" fontId="0" fillId="0" borderId="34" xfId="0" applyBorder="1"/>
    <xf numFmtId="3" fontId="11" fillId="0" borderId="34" xfId="1" applyNumberFormat="1" applyFont="1" applyBorder="1"/>
    <xf numFmtId="3" fontId="13" fillId="0" borderId="34" xfId="0" applyNumberFormat="1" applyFont="1" applyFill="1" applyBorder="1" applyAlignment="1">
      <alignment vertical="top" wrapText="1"/>
    </xf>
    <xf numFmtId="0" fontId="0" fillId="0" borderId="31" xfId="0" applyBorder="1"/>
    <xf numFmtId="0" fontId="5" fillId="0" borderId="38" xfId="0" applyFont="1" applyFill="1" applyBorder="1"/>
    <xf numFmtId="3" fontId="5" fillId="0" borderId="39" xfId="0" applyNumberFormat="1" applyFont="1" applyFill="1" applyBorder="1"/>
    <xf numFmtId="3" fontId="13" fillId="0" borderId="31" xfId="0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12" fillId="0" borderId="7" xfId="0" applyNumberFormat="1" applyFont="1" applyFill="1" applyBorder="1" applyAlignment="1">
      <alignment vertical="top" wrapText="1"/>
    </xf>
    <xf numFmtId="3" fontId="12" fillId="0" borderId="7" xfId="0" applyNumberFormat="1" applyFont="1" applyBorder="1" applyAlignment="1">
      <alignment vertical="top" wrapText="1"/>
    </xf>
    <xf numFmtId="3" fontId="37" fillId="0" borderId="7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3" fillId="0" borderId="31" xfId="0" applyFont="1" applyBorder="1" applyAlignment="1">
      <alignment vertical="center" wrapText="1"/>
    </xf>
    <xf numFmtId="0" fontId="43" fillId="0" borderId="16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4" fillId="0" borderId="3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17" xfId="0" applyFont="1" applyBorder="1" applyAlignment="1">
      <alignment vertical="center" wrapText="1"/>
    </xf>
    <xf numFmtId="0" fontId="44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3" fontId="44" fillId="0" borderId="5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3" fontId="44" fillId="0" borderId="18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3" fontId="44" fillId="0" borderId="31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4" fillId="0" borderId="15" xfId="0" applyFont="1" applyBorder="1" applyAlignment="1">
      <alignment vertical="center" wrapText="1"/>
    </xf>
    <xf numFmtId="0" fontId="44" fillId="0" borderId="18" xfId="0" applyFont="1" applyBorder="1" applyAlignment="1">
      <alignment vertical="center" wrapText="1"/>
    </xf>
    <xf numFmtId="0" fontId="2" fillId="0" borderId="33" xfId="0" applyFont="1" applyBorder="1" applyAlignment="1">
      <alignment vertical="center"/>
    </xf>
    <xf numFmtId="0" fontId="2" fillId="0" borderId="40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3" fontId="46" fillId="0" borderId="5" xfId="0" applyNumberFormat="1" applyFont="1" applyBorder="1" applyAlignment="1">
      <alignment vertical="center" wrapText="1"/>
    </xf>
    <xf numFmtId="0" fontId="17" fillId="0" borderId="19" xfId="0" applyFont="1" applyBorder="1"/>
    <xf numFmtId="0" fontId="17" fillId="0" borderId="20" xfId="0" applyFont="1" applyBorder="1"/>
    <xf numFmtId="0" fontId="17" fillId="0" borderId="20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0" fontId="17" fillId="0" borderId="7" xfId="0" applyFont="1" applyBorder="1"/>
    <xf numFmtId="3" fontId="21" fillId="0" borderId="23" xfId="0" applyNumberFormat="1" applyFont="1" applyBorder="1"/>
    <xf numFmtId="3" fontId="17" fillId="0" borderId="26" xfId="0" applyNumberFormat="1" applyFont="1" applyBorder="1"/>
    <xf numFmtId="0" fontId="17" fillId="0" borderId="19" xfId="0" applyFont="1" applyBorder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12" fillId="0" borderId="7" xfId="0" applyFont="1" applyBorder="1" applyAlignment="1"/>
    <xf numFmtId="0" fontId="4" fillId="0" borderId="0" xfId="0" applyFont="1"/>
    <xf numFmtId="0" fontId="12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3" fontId="13" fillId="0" borderId="7" xfId="0" applyNumberFormat="1" applyFont="1" applyBorder="1" applyAlignment="1">
      <alignment vertical="top" wrapText="1"/>
    </xf>
    <xf numFmtId="0" fontId="13" fillId="0" borderId="30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41" xfId="0" applyFont="1" applyFill="1" applyBorder="1" applyAlignment="1">
      <alignment vertical="top" wrapText="1"/>
    </xf>
    <xf numFmtId="3" fontId="11" fillId="0" borderId="43" xfId="1" applyNumberFormat="1" applyFont="1" applyBorder="1"/>
    <xf numFmtId="3" fontId="22" fillId="0" borderId="5" xfId="0" applyNumberFormat="1" applyFont="1" applyBorder="1" applyAlignment="1">
      <alignment vertical="top" wrapText="1"/>
    </xf>
    <xf numFmtId="3" fontId="22" fillId="0" borderId="15" xfId="0" applyNumberFormat="1" applyFont="1" applyBorder="1" applyAlignment="1">
      <alignment vertical="top" wrapText="1"/>
    </xf>
    <xf numFmtId="3" fontId="22" fillId="0" borderId="31" xfId="0" applyNumberFormat="1" applyFont="1" applyBorder="1" applyAlignment="1">
      <alignment horizontal="center" vertical="top"/>
    </xf>
    <xf numFmtId="3" fontId="13" fillId="0" borderId="23" xfId="0" applyNumberFormat="1" applyFont="1" applyBorder="1" applyAlignment="1">
      <alignment vertical="center"/>
    </xf>
    <xf numFmtId="3" fontId="13" fillId="0" borderId="23" xfId="0" applyNumberFormat="1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3" fontId="22" fillId="0" borderId="7" xfId="0" applyNumberFormat="1" applyFont="1" applyBorder="1" applyAlignment="1">
      <alignment vertical="center" wrapText="1"/>
    </xf>
    <xf numFmtId="3" fontId="40" fillId="0" borderId="23" xfId="0" applyNumberFormat="1" applyFont="1" applyBorder="1" applyAlignment="1">
      <alignment vertical="center"/>
    </xf>
    <xf numFmtId="3" fontId="37" fillId="0" borderId="26" xfId="0" applyNumberFormat="1" applyFont="1" applyBorder="1" applyAlignment="1"/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36" xfId="0" applyFont="1" applyFill="1" applyBorder="1"/>
    <xf numFmtId="3" fontId="5" fillId="0" borderId="10" xfId="0" applyNumberFormat="1" applyFont="1" applyBorder="1"/>
    <xf numFmtId="9" fontId="5" fillId="0" borderId="7" xfId="0" applyNumberFormat="1" applyFont="1" applyBorder="1" applyAlignment="1">
      <alignment horizontal="center"/>
    </xf>
    <xf numFmtId="9" fontId="5" fillId="0" borderId="10" xfId="0" applyNumberFormat="1" applyFont="1" applyBorder="1" applyAlignment="1">
      <alignment horizontal="center"/>
    </xf>
    <xf numFmtId="3" fontId="21" fillId="0" borderId="7" xfId="0" applyNumberFormat="1" applyFont="1" applyBorder="1"/>
    <xf numFmtId="3" fontId="21" fillId="0" borderId="26" xfId="0" applyNumberFormat="1" applyFont="1" applyBorder="1"/>
    <xf numFmtId="3" fontId="13" fillId="0" borderId="7" xfId="0" applyNumberFormat="1" applyFont="1" applyBorder="1"/>
    <xf numFmtId="3" fontId="12" fillId="0" borderId="7" xfId="0" applyNumberFormat="1" applyFont="1" applyBorder="1"/>
    <xf numFmtId="0" fontId="13" fillId="0" borderId="7" xfId="0" applyFont="1" applyBorder="1"/>
    <xf numFmtId="166" fontId="13" fillId="0" borderId="23" xfId="0" applyNumberFormat="1" applyFont="1" applyBorder="1"/>
    <xf numFmtId="9" fontId="24" fillId="0" borderId="0" xfId="0" applyNumberFormat="1" applyFont="1"/>
    <xf numFmtId="166" fontId="13" fillId="0" borderId="7" xfId="0" applyNumberFormat="1" applyFont="1" applyBorder="1"/>
    <xf numFmtId="164" fontId="13" fillId="0" borderId="7" xfId="0" applyNumberFormat="1" applyFont="1" applyBorder="1"/>
    <xf numFmtId="9" fontId="13" fillId="0" borderId="7" xfId="0" applyNumberFormat="1" applyFont="1" applyBorder="1"/>
    <xf numFmtId="9" fontId="13" fillId="0" borderId="7" xfId="0" applyNumberFormat="1" applyFont="1" applyBorder="1" applyAlignment="1">
      <alignment horizontal="center"/>
    </xf>
    <xf numFmtId="0" fontId="20" fillId="0" borderId="7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166" fontId="0" fillId="0" borderId="0" xfId="0" applyNumberFormat="1"/>
    <xf numFmtId="167" fontId="0" fillId="0" borderId="0" xfId="0" applyNumberFormat="1"/>
    <xf numFmtId="3" fontId="4" fillId="0" borderId="23" xfId="0" applyNumberFormat="1" applyFont="1" applyBorder="1" applyAlignment="1">
      <alignment vertical="center"/>
    </xf>
    <xf numFmtId="0" fontId="5" fillId="0" borderId="35" xfId="0" applyFont="1" applyBorder="1" applyAlignment="1">
      <alignment wrapText="1"/>
    </xf>
    <xf numFmtId="0" fontId="12" fillId="0" borderId="47" xfId="0" applyFont="1" applyBorder="1" applyAlignment="1">
      <alignment vertical="center" wrapText="1"/>
    </xf>
    <xf numFmtId="3" fontId="5" fillId="0" borderId="0" xfId="0" applyNumberFormat="1" applyFont="1"/>
    <xf numFmtId="0" fontId="13" fillId="0" borderId="5" xfId="0" applyFont="1" applyBorder="1" applyAlignment="1">
      <alignment horizontal="left"/>
    </xf>
    <xf numFmtId="0" fontId="13" fillId="0" borderId="12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3" fontId="48" fillId="0" borderId="7" xfId="0" applyNumberFormat="1" applyFont="1" applyFill="1" applyBorder="1" applyAlignment="1">
      <alignment vertical="top" wrapText="1"/>
    </xf>
    <xf numFmtId="0" fontId="11" fillId="0" borderId="22" xfId="0" applyFont="1" applyBorder="1" applyAlignment="1">
      <alignment vertical="center" wrapText="1"/>
    </xf>
    <xf numFmtId="0" fontId="1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15" xfId="0" applyFont="1" applyBorder="1" applyAlignment="1">
      <alignment horizontal="center"/>
    </xf>
    <xf numFmtId="0" fontId="45" fillId="0" borderId="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 wrapText="1"/>
    </xf>
    <xf numFmtId="0" fontId="46" fillId="0" borderId="37" xfId="0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9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2" fillId="8" borderId="10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2" borderId="10" xfId="0" applyFont="1" applyFill="1" applyBorder="1" applyAlignment="1">
      <alignment horizontal="left" vertical="center" wrapText="1"/>
    </xf>
    <xf numFmtId="0" fontId="33" fillId="2" borderId="11" xfId="0" applyFont="1" applyFill="1" applyBorder="1" applyAlignment="1">
      <alignment horizontal="left" vertical="center" wrapText="1"/>
    </xf>
    <xf numFmtId="0" fontId="32" fillId="8" borderId="13" xfId="0" applyFont="1" applyFill="1" applyBorder="1" applyAlignment="1">
      <alignment horizontal="left" vertical="center" wrapText="1"/>
    </xf>
    <xf numFmtId="0" fontId="32" fillId="8" borderId="14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32" fillId="8" borderId="12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2" fillId="5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7" fillId="0" borderId="20" xfId="0" applyFont="1" applyBorder="1" applyAlignment="1">
      <alignment vertical="top" wrapText="1"/>
    </xf>
    <xf numFmtId="0" fontId="7" fillId="0" borderId="29" xfId="0" applyFont="1" applyBorder="1" applyAlignment="1">
      <alignment horizontal="center"/>
    </xf>
    <xf numFmtId="0" fontId="7" fillId="0" borderId="19" xfId="0" applyFont="1" applyBorder="1" applyAlignment="1">
      <alignment horizontal="left" vertical="top" textRotation="90" wrapText="1"/>
    </xf>
    <xf numFmtId="0" fontId="7" fillId="0" borderId="22" xfId="0" applyFont="1" applyBorder="1" applyAlignment="1">
      <alignment horizontal="left" vertical="top" textRotation="90" wrapText="1"/>
    </xf>
    <xf numFmtId="0" fontId="7" fillId="0" borderId="2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47" fillId="0" borderId="14" xfId="0" applyFont="1" applyBorder="1" applyAlignment="1">
      <alignment horizontal="center"/>
    </xf>
    <xf numFmtId="0" fontId="47" fillId="0" borderId="51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2" fillId="0" borderId="15" xfId="0" applyFont="1" applyBorder="1" applyAlignment="1">
      <alignment horizontal="center"/>
    </xf>
    <xf numFmtId="0" fontId="13" fillId="0" borderId="48" xfId="0" applyFont="1" applyBorder="1" applyAlignment="1">
      <alignment horizontal="left" vertical="top" wrapText="1"/>
    </xf>
    <xf numFmtId="0" fontId="13" fillId="0" borderId="49" xfId="0" applyFont="1" applyBorder="1" applyAlignment="1">
      <alignment horizontal="left" vertical="top" wrapText="1"/>
    </xf>
    <xf numFmtId="0" fontId="13" fillId="0" borderId="5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BCR@12%25" TargetMode="External"/><Relationship Id="rId1" Type="http://schemas.openxmlformats.org/officeDocument/2006/relationships/hyperlink" Target="mailto:NPW@12%25%20DF%20(Rs.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opLeftCell="A45" workbookViewId="0">
      <selection activeCell="A62" sqref="A62:E68"/>
    </sheetView>
  </sheetViews>
  <sheetFormatPr defaultColWidth="9.1796875" defaultRowHeight="14.5"/>
  <cols>
    <col min="1" max="1" width="8.26953125" style="2" customWidth="1"/>
    <col min="2" max="2" width="78.81640625" style="2" customWidth="1"/>
    <col min="3" max="3" width="27.54296875" style="2" customWidth="1"/>
    <col min="4" max="4" width="18.54296875" style="2" customWidth="1"/>
    <col min="5" max="5" width="15" style="2" customWidth="1"/>
    <col min="6" max="16384" width="9.1796875" style="2"/>
  </cols>
  <sheetData>
    <row r="1" spans="1:3" ht="23.5">
      <c r="A1" s="276" t="s">
        <v>330</v>
      </c>
      <c r="B1" s="276"/>
      <c r="C1" s="276"/>
    </row>
    <row r="2" spans="1:3" ht="21.5" thickBot="1">
      <c r="B2" s="275" t="s">
        <v>83</v>
      </c>
      <c r="C2" s="275"/>
    </row>
    <row r="3" spans="1:3" ht="18.5" thickBot="1">
      <c r="A3" s="3" t="s">
        <v>35</v>
      </c>
      <c r="B3" s="4" t="s">
        <v>36</v>
      </c>
      <c r="C3" s="4" t="s">
        <v>37</v>
      </c>
    </row>
    <row r="4" spans="1:3" ht="18" thickBot="1">
      <c r="A4" s="186" t="s">
        <v>285</v>
      </c>
      <c r="B4" s="6" t="s">
        <v>38</v>
      </c>
      <c r="C4" s="6" t="s">
        <v>39</v>
      </c>
    </row>
    <row r="5" spans="1:3" ht="39" customHeight="1" thickBot="1">
      <c r="A5" s="185">
        <v>1</v>
      </c>
      <c r="B5" s="6" t="s">
        <v>31</v>
      </c>
      <c r="C5" s="6" t="s">
        <v>40</v>
      </c>
    </row>
    <row r="6" spans="1:3" ht="40.5" customHeight="1" thickBot="1">
      <c r="A6" s="185">
        <v>2</v>
      </c>
      <c r="B6" s="6" t="s">
        <v>32</v>
      </c>
      <c r="C6" s="6" t="s">
        <v>40</v>
      </c>
    </row>
    <row r="7" spans="1:3" ht="18" thickBot="1">
      <c r="A7" s="186" t="s">
        <v>286</v>
      </c>
      <c r="B7" s="7" t="s">
        <v>41</v>
      </c>
      <c r="C7" s="8"/>
    </row>
    <row r="8" spans="1:3" ht="29.25" customHeight="1" thickBot="1">
      <c r="A8" s="185">
        <v>1</v>
      </c>
      <c r="B8" s="6" t="s">
        <v>42</v>
      </c>
      <c r="C8" s="6">
        <v>2</v>
      </c>
    </row>
    <row r="9" spans="1:3" ht="19" thickBot="1">
      <c r="A9" s="185">
        <v>2</v>
      </c>
      <c r="B9" s="6" t="s">
        <v>43</v>
      </c>
      <c r="C9" s="6" t="s">
        <v>44</v>
      </c>
    </row>
    <row r="10" spans="1:3" ht="26.25" customHeight="1" thickBot="1">
      <c r="A10" s="186" t="s">
        <v>287</v>
      </c>
      <c r="B10" s="7" t="s">
        <v>45</v>
      </c>
      <c r="C10" s="8"/>
    </row>
    <row r="11" spans="1:3" ht="19" thickBot="1">
      <c r="A11" s="185">
        <v>1</v>
      </c>
      <c r="B11" s="6" t="s">
        <v>314</v>
      </c>
      <c r="C11" s="6">
        <v>200</v>
      </c>
    </row>
    <row r="12" spans="1:3" ht="19" thickBot="1">
      <c r="A12" s="185">
        <v>2</v>
      </c>
      <c r="B12" s="6" t="s">
        <v>315</v>
      </c>
      <c r="C12" s="6">
        <v>200</v>
      </c>
    </row>
    <row r="13" spans="1:3" ht="19" thickBot="1">
      <c r="A13" s="185">
        <v>3</v>
      </c>
      <c r="B13" s="6" t="s">
        <v>316</v>
      </c>
      <c r="C13" s="6">
        <v>250</v>
      </c>
    </row>
    <row r="14" spans="1:3" ht="19" thickBot="1">
      <c r="A14" s="185">
        <v>4</v>
      </c>
      <c r="B14" s="6" t="s">
        <v>317</v>
      </c>
      <c r="C14" s="6">
        <v>250</v>
      </c>
    </row>
    <row r="15" spans="1:3" ht="29.25" customHeight="1" thickBot="1">
      <c r="A15" s="185">
        <v>5</v>
      </c>
      <c r="B15" s="6" t="s">
        <v>318</v>
      </c>
      <c r="C15" s="6">
        <v>200</v>
      </c>
    </row>
    <row r="16" spans="1:3" ht="19" thickBot="1">
      <c r="A16" s="185">
        <v>6</v>
      </c>
      <c r="B16" s="6" t="s">
        <v>319</v>
      </c>
      <c r="C16" s="6">
        <v>200</v>
      </c>
    </row>
    <row r="17" spans="1:3" ht="19" thickBot="1">
      <c r="A17" s="185">
        <v>7</v>
      </c>
      <c r="B17" s="6" t="s">
        <v>320</v>
      </c>
      <c r="C17" s="6">
        <v>200</v>
      </c>
    </row>
    <row r="18" spans="1:3" ht="18" thickBot="1">
      <c r="A18" s="186" t="s">
        <v>288</v>
      </c>
      <c r="B18" s="7" t="s">
        <v>46</v>
      </c>
      <c r="C18" s="8"/>
    </row>
    <row r="19" spans="1:3" ht="19" thickBot="1">
      <c r="A19" s="185">
        <v>1</v>
      </c>
      <c r="B19" s="6" t="s">
        <v>291</v>
      </c>
      <c r="C19" s="6" t="s">
        <v>47</v>
      </c>
    </row>
    <row r="20" spans="1:3" ht="19" thickBot="1">
      <c r="A20" s="185">
        <v>2</v>
      </c>
      <c r="B20" s="6" t="s">
        <v>292</v>
      </c>
      <c r="C20" s="6" t="s">
        <v>48</v>
      </c>
    </row>
    <row r="21" spans="1:3" ht="19" thickBot="1">
      <c r="A21" s="185">
        <v>3</v>
      </c>
      <c r="B21" s="6" t="s">
        <v>293</v>
      </c>
      <c r="C21" s="6">
        <v>2</v>
      </c>
    </row>
    <row r="22" spans="1:3" ht="19" thickBot="1">
      <c r="A22" s="185">
        <v>4</v>
      </c>
      <c r="B22" s="6" t="s">
        <v>294</v>
      </c>
      <c r="C22" s="59" t="s">
        <v>237</v>
      </c>
    </row>
    <row r="23" spans="1:3" ht="19" thickBot="1">
      <c r="A23" s="185">
        <v>5</v>
      </c>
      <c r="B23" s="6" t="s">
        <v>295</v>
      </c>
      <c r="C23" s="6">
        <v>8</v>
      </c>
    </row>
    <row r="24" spans="1:3" ht="19" thickBot="1">
      <c r="A24" s="185">
        <v>6</v>
      </c>
      <c r="B24" s="6" t="s">
        <v>296</v>
      </c>
      <c r="C24" s="9">
        <v>0.1</v>
      </c>
    </row>
    <row r="25" spans="1:3" ht="19" thickBot="1">
      <c r="A25" s="185">
        <v>7</v>
      </c>
      <c r="B25" s="6" t="s">
        <v>297</v>
      </c>
      <c r="C25" s="6" t="s">
        <v>206</v>
      </c>
    </row>
    <row r="26" spans="1:3" ht="19" thickBot="1">
      <c r="A26" s="185">
        <v>8</v>
      </c>
      <c r="B26" s="6" t="s">
        <v>298</v>
      </c>
      <c r="C26" s="6" t="s">
        <v>49</v>
      </c>
    </row>
    <row r="27" spans="1:3" ht="19" thickBot="1">
      <c r="A27" s="185">
        <v>9</v>
      </c>
      <c r="B27" s="6" t="s">
        <v>299</v>
      </c>
      <c r="C27" s="9">
        <v>0.05</v>
      </c>
    </row>
    <row r="28" spans="1:3" ht="19" thickBot="1">
      <c r="A28" s="185">
        <v>10</v>
      </c>
      <c r="B28" s="6" t="s">
        <v>300</v>
      </c>
      <c r="C28" s="9">
        <v>0.05</v>
      </c>
    </row>
    <row r="29" spans="1:3" ht="19" thickBot="1">
      <c r="A29" s="185">
        <v>11</v>
      </c>
      <c r="B29" s="6" t="s">
        <v>301</v>
      </c>
      <c r="C29" s="6" t="s">
        <v>210</v>
      </c>
    </row>
    <row r="30" spans="1:3" ht="19" thickBot="1">
      <c r="A30" s="185">
        <v>12</v>
      </c>
      <c r="B30" s="6" t="s">
        <v>302</v>
      </c>
      <c r="C30" s="6" t="s">
        <v>207</v>
      </c>
    </row>
    <row r="31" spans="1:3" ht="19" thickBot="1">
      <c r="A31" s="185">
        <v>13</v>
      </c>
      <c r="B31" s="6" t="s">
        <v>303</v>
      </c>
      <c r="C31" s="6" t="s">
        <v>211</v>
      </c>
    </row>
    <row r="32" spans="1:3" ht="18" thickBot="1">
      <c r="A32" s="186" t="s">
        <v>289</v>
      </c>
      <c r="B32" s="7" t="s">
        <v>50</v>
      </c>
      <c r="C32" s="8"/>
    </row>
    <row r="33" spans="1:3" ht="19" thickBot="1">
      <c r="A33" s="185">
        <v>1</v>
      </c>
      <c r="B33" s="6" t="s">
        <v>280</v>
      </c>
      <c r="C33" s="6">
        <v>3.5</v>
      </c>
    </row>
    <row r="34" spans="1:3" ht="19" thickBot="1">
      <c r="A34" s="185">
        <v>2</v>
      </c>
      <c r="B34" s="6" t="s">
        <v>279</v>
      </c>
      <c r="C34" s="6">
        <v>3</v>
      </c>
    </row>
    <row r="35" spans="1:3" ht="19" thickBot="1">
      <c r="A35" s="185">
        <v>3</v>
      </c>
      <c r="B35" s="6" t="s">
        <v>278</v>
      </c>
      <c r="C35" s="6">
        <v>0.25</v>
      </c>
    </row>
    <row r="36" spans="1:3" ht="19" thickBot="1">
      <c r="A36" s="185">
        <v>4</v>
      </c>
      <c r="B36" s="6" t="s">
        <v>277</v>
      </c>
      <c r="C36" s="6">
        <v>1.8</v>
      </c>
    </row>
    <row r="37" spans="1:3" ht="30.75" customHeight="1" thickBot="1">
      <c r="A37" s="185">
        <v>5</v>
      </c>
      <c r="B37" s="6" t="s">
        <v>281</v>
      </c>
      <c r="C37" s="6">
        <v>1</v>
      </c>
    </row>
    <row r="38" spans="1:3" ht="30.75" customHeight="1" thickBot="1">
      <c r="A38" s="185">
        <v>6</v>
      </c>
      <c r="B38" s="6" t="s">
        <v>282</v>
      </c>
      <c r="C38" s="6">
        <v>5</v>
      </c>
    </row>
    <row r="39" spans="1:3" ht="36" customHeight="1" thickBot="1">
      <c r="A39" s="185">
        <v>7</v>
      </c>
      <c r="B39" s="6" t="s">
        <v>283</v>
      </c>
      <c r="C39" s="21">
        <v>25000</v>
      </c>
    </row>
    <row r="40" spans="1:3" ht="50.25" customHeight="1" thickBot="1">
      <c r="A40" s="185">
        <v>8</v>
      </c>
      <c r="B40" s="6" t="s">
        <v>284</v>
      </c>
      <c r="C40" s="21">
        <v>2000</v>
      </c>
    </row>
    <row r="41" spans="1:3" ht="34.5" customHeight="1" thickBot="1">
      <c r="A41" s="186" t="s">
        <v>290</v>
      </c>
      <c r="B41" s="7" t="s">
        <v>275</v>
      </c>
      <c r="C41" s="8"/>
    </row>
    <row r="42" spans="1:3" ht="58.5" customHeight="1" thickBot="1">
      <c r="A42" s="185">
        <v>1</v>
      </c>
      <c r="B42" s="6" t="s">
        <v>305</v>
      </c>
      <c r="C42" s="21">
        <v>24000</v>
      </c>
    </row>
    <row r="43" spans="1:3" ht="28.5" customHeight="1" thickBot="1">
      <c r="A43" s="185">
        <v>2</v>
      </c>
      <c r="B43" s="6" t="s">
        <v>306</v>
      </c>
      <c r="C43" s="21">
        <v>27000</v>
      </c>
    </row>
    <row r="44" spans="1:3" ht="18" thickBot="1">
      <c r="A44" s="186" t="s">
        <v>304</v>
      </c>
      <c r="B44" s="7" t="s">
        <v>51</v>
      </c>
      <c r="C44" s="8"/>
    </row>
    <row r="45" spans="1:3" ht="59.25" customHeight="1" thickBot="1">
      <c r="A45" s="185">
        <v>1</v>
      </c>
      <c r="B45" s="6" t="s">
        <v>307</v>
      </c>
      <c r="C45" s="21">
        <v>23000</v>
      </c>
    </row>
    <row r="46" spans="1:3" ht="67.5" customHeight="1" thickBot="1">
      <c r="A46" s="185">
        <v>2</v>
      </c>
      <c r="B46" s="6" t="s">
        <v>308</v>
      </c>
      <c r="C46" s="21">
        <v>25000</v>
      </c>
    </row>
    <row r="47" spans="1:3" ht="31.5" customHeight="1" thickBot="1">
      <c r="A47" s="185">
        <v>3</v>
      </c>
      <c r="B47" s="6" t="s">
        <v>309</v>
      </c>
      <c r="C47" s="21">
        <v>4000</v>
      </c>
    </row>
    <row r="48" spans="1:3" ht="33.75" customHeight="1" thickBot="1">
      <c r="A48" s="185">
        <v>4</v>
      </c>
      <c r="B48" s="270" t="s">
        <v>310</v>
      </c>
      <c r="C48" s="21">
        <v>20000</v>
      </c>
    </row>
    <row r="49" spans="1:5" ht="28.5" customHeight="1" thickBot="1">
      <c r="A49" s="185" t="s">
        <v>147</v>
      </c>
      <c r="B49" s="6" t="s">
        <v>311</v>
      </c>
      <c r="C49" s="9">
        <v>0.25</v>
      </c>
    </row>
    <row r="50" spans="1:5" ht="34.5" customHeight="1" thickBot="1">
      <c r="A50" s="185" t="s">
        <v>253</v>
      </c>
      <c r="B50" s="6" t="s">
        <v>313</v>
      </c>
      <c r="C50" s="9">
        <v>0.25</v>
      </c>
    </row>
    <row r="51" spans="1:5" ht="33.75" customHeight="1" thickBot="1">
      <c r="A51" s="185" t="s">
        <v>149</v>
      </c>
      <c r="B51" s="6" t="s">
        <v>312</v>
      </c>
      <c r="C51" s="9">
        <v>0.5</v>
      </c>
    </row>
    <row r="52" spans="1:5" ht="18" thickBot="1">
      <c r="A52" s="186" t="s">
        <v>321</v>
      </c>
      <c r="B52" s="6" t="s">
        <v>52</v>
      </c>
      <c r="C52" s="10">
        <v>7.4999999999999997E-2</v>
      </c>
    </row>
    <row r="53" spans="1:5" ht="18" thickBot="1">
      <c r="A53" s="186" t="s">
        <v>322</v>
      </c>
      <c r="B53" s="6" t="s">
        <v>115</v>
      </c>
      <c r="C53" s="6">
        <v>5</v>
      </c>
    </row>
    <row r="54" spans="1:5" ht="34.5" customHeight="1" thickBot="1">
      <c r="A54" s="186" t="s">
        <v>323</v>
      </c>
      <c r="B54" s="6" t="s">
        <v>53</v>
      </c>
      <c r="C54" s="21">
        <v>24000</v>
      </c>
    </row>
    <row r="55" spans="1:5" ht="60.75" customHeight="1" thickBot="1">
      <c r="A55" s="186" t="s">
        <v>324</v>
      </c>
      <c r="B55" s="6" t="s">
        <v>113</v>
      </c>
      <c r="C55" s="6">
        <v>200</v>
      </c>
    </row>
    <row r="56" spans="1:5" ht="61.5" customHeight="1" thickBot="1">
      <c r="A56" s="186" t="s">
        <v>325</v>
      </c>
      <c r="B56" s="6" t="s">
        <v>114</v>
      </c>
      <c r="C56" s="6">
        <v>200</v>
      </c>
    </row>
    <row r="57" spans="1:5" ht="36" customHeight="1" thickBot="1">
      <c r="A57" s="186" t="s">
        <v>326</v>
      </c>
      <c r="B57" s="6" t="s">
        <v>54</v>
      </c>
      <c r="C57" s="9">
        <v>0.2</v>
      </c>
    </row>
    <row r="58" spans="1:5" ht="26.25" customHeight="1" thickBot="1">
      <c r="A58" s="185" t="s">
        <v>327</v>
      </c>
      <c r="B58" s="6" t="s">
        <v>55</v>
      </c>
      <c r="C58" s="6" t="s">
        <v>56</v>
      </c>
    </row>
    <row r="59" spans="1:5" ht="19" thickBot="1">
      <c r="A59" s="185" t="s">
        <v>328</v>
      </c>
      <c r="B59" s="6" t="s">
        <v>57</v>
      </c>
      <c r="C59" s="6" t="s">
        <v>208</v>
      </c>
    </row>
    <row r="60" spans="1:5" ht="18" thickBot="1">
      <c r="A60" s="186" t="s">
        <v>329</v>
      </c>
      <c r="B60" s="6" t="s">
        <v>209</v>
      </c>
      <c r="C60" s="6">
        <v>1500</v>
      </c>
    </row>
    <row r="62" spans="1:5" ht="26.5" thickBot="1">
      <c r="B62" s="17" t="s">
        <v>58</v>
      </c>
    </row>
    <row r="63" spans="1:5" ht="51" customHeight="1" thickBot="1">
      <c r="A63" s="11" t="s">
        <v>59</v>
      </c>
      <c r="B63" s="12" t="s">
        <v>60</v>
      </c>
      <c r="C63" s="12" t="s">
        <v>61</v>
      </c>
      <c r="D63" s="12" t="s">
        <v>62</v>
      </c>
      <c r="E63" s="12" t="s">
        <v>25</v>
      </c>
    </row>
    <row r="64" spans="1:5" ht="16" thickBot="1">
      <c r="A64" s="13">
        <v>1</v>
      </c>
      <c r="B64" s="14" t="s">
        <v>63</v>
      </c>
      <c r="C64" s="14">
        <v>110</v>
      </c>
      <c r="D64" s="14">
        <v>350</v>
      </c>
      <c r="E64" s="15">
        <f>C64*D64</f>
        <v>38500</v>
      </c>
    </row>
    <row r="65" spans="1:5" ht="16" thickBot="1">
      <c r="A65" s="13">
        <v>2</v>
      </c>
      <c r="B65" s="14" t="s">
        <v>64</v>
      </c>
      <c r="C65" s="14">
        <v>1800</v>
      </c>
      <c r="D65" s="14">
        <v>50</v>
      </c>
      <c r="E65" s="15">
        <f>C65*D65</f>
        <v>90000</v>
      </c>
    </row>
    <row r="66" spans="1:5" ht="16" thickBot="1">
      <c r="A66" s="13">
        <v>3</v>
      </c>
      <c r="B66" s="22"/>
      <c r="C66" s="14" t="s">
        <v>65</v>
      </c>
      <c r="D66" s="22"/>
      <c r="E66" s="22"/>
    </row>
    <row r="67" spans="1:5" ht="16" thickBot="1">
      <c r="A67" s="23"/>
      <c r="B67" s="22"/>
      <c r="C67" s="14" t="s">
        <v>66</v>
      </c>
      <c r="D67" s="16">
        <v>0.1</v>
      </c>
      <c r="E67" s="22"/>
    </row>
    <row r="68" spans="1:5" ht="16" thickBot="1">
      <c r="A68" s="23"/>
      <c r="B68" s="22"/>
      <c r="C68" s="14" t="s">
        <v>67</v>
      </c>
      <c r="D68" s="16">
        <v>0.05</v>
      </c>
      <c r="E68" s="22"/>
    </row>
  </sheetData>
  <mergeCells count="2">
    <mergeCell ref="B2:C2"/>
    <mergeCell ref="A1:C1"/>
  </mergeCell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C31" sqref="C31"/>
    </sheetView>
  </sheetViews>
  <sheetFormatPr defaultRowHeight="14.5"/>
  <cols>
    <col min="2" max="2" width="23.81640625" customWidth="1"/>
    <col min="3" max="3" width="17.1796875" customWidth="1"/>
    <col min="4" max="4" width="18.1796875" customWidth="1"/>
    <col min="5" max="5" width="15.54296875" customWidth="1"/>
    <col min="6" max="6" width="23.453125" customWidth="1"/>
    <col min="7" max="7" width="15.54296875" customWidth="1"/>
    <col min="8" max="8" width="16.1796875" customWidth="1"/>
    <col min="9" max="9" width="11" customWidth="1"/>
    <col min="10" max="10" width="13.81640625" bestFit="1" customWidth="1"/>
    <col min="11" max="11" width="13.26953125" customWidth="1"/>
    <col min="12" max="12" width="17.453125" customWidth="1"/>
  </cols>
  <sheetData>
    <row r="1" spans="1:12" ht="19" thickBot="1">
      <c r="A1" s="383" t="s">
        <v>179</v>
      </c>
      <c r="B1" s="383"/>
      <c r="C1" s="383"/>
      <c r="D1" s="383"/>
      <c r="E1" s="383"/>
      <c r="F1" s="383"/>
      <c r="G1" s="383"/>
    </row>
    <row r="2" spans="1:12" ht="18.5">
      <c r="A2" s="132" t="s">
        <v>69</v>
      </c>
      <c r="B2" s="129" t="s">
        <v>37</v>
      </c>
      <c r="C2" s="133" t="s">
        <v>180</v>
      </c>
      <c r="D2" s="134" t="s">
        <v>181</v>
      </c>
      <c r="E2" s="129" t="s">
        <v>182</v>
      </c>
      <c r="F2" s="134" t="s">
        <v>183</v>
      </c>
      <c r="G2" s="134" t="s">
        <v>235</v>
      </c>
      <c r="H2" s="131" t="s">
        <v>236</v>
      </c>
    </row>
    <row r="3" spans="1:12" ht="27" customHeight="1">
      <c r="A3" s="39">
        <v>1</v>
      </c>
      <c r="B3" s="130" t="s">
        <v>184</v>
      </c>
      <c r="C3" s="135">
        <f>'Cost Benefit Analysis'!C48</f>
        <v>6996675</v>
      </c>
      <c r="D3" s="135">
        <f>'Cost Benefit Analysis'!D48</f>
        <v>26455425</v>
      </c>
      <c r="E3" s="135">
        <f>'Cost Benefit Analysis'!E48</f>
        <v>26455425</v>
      </c>
      <c r="F3" s="135">
        <f>'Cost Benefit Analysis'!F48</f>
        <v>26455425</v>
      </c>
      <c r="G3" s="135">
        <f>'Cost Benefit Analysis'!G48</f>
        <v>26455425</v>
      </c>
      <c r="H3" s="164">
        <f>'Cost Benefit Analysis'!H48</f>
        <v>40331215.957734376</v>
      </c>
    </row>
    <row r="4" spans="1:12" ht="18.5">
      <c r="A4" s="128"/>
      <c r="B4" s="131" t="s">
        <v>186</v>
      </c>
      <c r="C4" s="253">
        <f>'Cost Benefit Analysis'!C49</f>
        <v>9014175</v>
      </c>
      <c r="D4" s="253">
        <f>'Cost Benefit Analysis'!D49</f>
        <v>13425837.5</v>
      </c>
      <c r="E4" s="253">
        <f>'Cost Benefit Analysis'!E49</f>
        <v>13470656.875</v>
      </c>
      <c r="F4" s="253">
        <f>'Cost Benefit Analysis'!F49</f>
        <v>13416383.28125</v>
      </c>
      <c r="G4" s="253">
        <f>'Cost Benefit Analysis'!G49</f>
        <v>13367431.567187501</v>
      </c>
      <c r="H4" s="253">
        <f>'Cost Benefit Analysis'!H49</f>
        <v>13323274.818828126</v>
      </c>
    </row>
    <row r="5" spans="1:12" ht="9" customHeight="1">
      <c r="A5" s="128"/>
      <c r="B5" s="131"/>
      <c r="C5" s="253"/>
      <c r="D5" s="253"/>
      <c r="E5" s="253"/>
      <c r="F5" s="253"/>
      <c r="G5" s="253"/>
      <c r="H5" s="255"/>
    </row>
    <row r="6" spans="1:12" ht="18.5">
      <c r="A6" s="128"/>
      <c r="B6" s="131" t="s">
        <v>353</v>
      </c>
      <c r="C6" s="254">
        <f t="shared" ref="C6:H6" si="0">C3-C4</f>
        <v>-2017500</v>
      </c>
      <c r="D6" s="254">
        <f t="shared" si="0"/>
        <v>13029587.5</v>
      </c>
      <c r="E6" s="254">
        <f t="shared" si="0"/>
        <v>12984768.125</v>
      </c>
      <c r="F6" s="254">
        <f t="shared" si="0"/>
        <v>13039041.71875</v>
      </c>
      <c r="G6" s="254">
        <f t="shared" si="0"/>
        <v>13087993.432812499</v>
      </c>
      <c r="H6" s="254">
        <f t="shared" si="0"/>
        <v>27007941.138906248</v>
      </c>
    </row>
    <row r="7" spans="1:12" ht="18.5">
      <c r="A7" s="128"/>
      <c r="B7" s="131"/>
      <c r="C7" s="34"/>
      <c r="D7" s="34"/>
      <c r="E7" s="34"/>
      <c r="F7" s="34"/>
      <c r="G7" s="34"/>
      <c r="H7" s="33"/>
    </row>
    <row r="8" spans="1:12" ht="8.25" customHeight="1">
      <c r="A8" s="126"/>
      <c r="B8" s="127"/>
      <c r="C8" s="127"/>
      <c r="D8" s="127"/>
      <c r="E8" s="127"/>
      <c r="F8" s="127"/>
      <c r="G8" s="125"/>
    </row>
    <row r="9" spans="1:12" ht="19" thickBot="1">
      <c r="A9" s="136"/>
      <c r="B9" s="137"/>
      <c r="C9" s="137"/>
      <c r="D9" s="137"/>
      <c r="E9" s="137"/>
      <c r="F9" s="137"/>
      <c r="G9" s="125"/>
    </row>
    <row r="10" spans="1:12" ht="28">
      <c r="A10" s="138" t="s">
        <v>175</v>
      </c>
      <c r="B10" s="139" t="s">
        <v>187</v>
      </c>
      <c r="C10" s="139" t="s">
        <v>188</v>
      </c>
      <c r="D10" s="139" t="s">
        <v>354</v>
      </c>
      <c r="E10" s="139" t="s">
        <v>189</v>
      </c>
      <c r="F10" s="140" t="s">
        <v>240</v>
      </c>
      <c r="G10" s="46"/>
    </row>
    <row r="11" spans="1:12" ht="17.5">
      <c r="A11" s="141" t="s">
        <v>190</v>
      </c>
      <c r="B11" s="253">
        <f>C6</f>
        <v>-2017500</v>
      </c>
      <c r="C11" s="253">
        <v>0</v>
      </c>
      <c r="D11" s="253">
        <f>'Project summary'!C8*0.12</f>
        <v>711000</v>
      </c>
      <c r="E11" s="253">
        <f>SUM(C11:D11)</f>
        <v>711000</v>
      </c>
      <c r="F11" s="256">
        <f t="shared" ref="F11:F16" si="1">B11-E11</f>
        <v>-2728500</v>
      </c>
      <c r="L11" s="36"/>
    </row>
    <row r="12" spans="1:12" ht="18.5">
      <c r="A12" s="141" t="s">
        <v>191</v>
      </c>
      <c r="B12" s="253">
        <f>D6</f>
        <v>13029587.5</v>
      </c>
      <c r="C12" s="253">
        <f>'Project summary'!C8/5</f>
        <v>1185000</v>
      </c>
      <c r="D12" s="253">
        <f>'Project summary'!C8*0.12</f>
        <v>711000</v>
      </c>
      <c r="E12" s="253">
        <f>SUM(C12:D12)</f>
        <v>1896000</v>
      </c>
      <c r="F12" s="256">
        <f t="shared" si="1"/>
        <v>11133587.5</v>
      </c>
      <c r="J12" s="253"/>
      <c r="K12" s="269"/>
      <c r="L12" s="36"/>
    </row>
    <row r="13" spans="1:12" ht="18.5">
      <c r="A13" s="141" t="s">
        <v>192</v>
      </c>
      <c r="B13" s="253">
        <f>E6</f>
        <v>12984768.125</v>
      </c>
      <c r="C13" s="253">
        <f>'Project summary'!C8/5</f>
        <v>1185000</v>
      </c>
      <c r="D13" s="253">
        <f>('Project summary'!C8-SUM(C11:C12))*0.12</f>
        <v>568800</v>
      </c>
      <c r="E13" s="253">
        <f>C13+D13</f>
        <v>1753800</v>
      </c>
      <c r="F13" s="256">
        <f t="shared" si="1"/>
        <v>11230968.125</v>
      </c>
      <c r="H13" s="36"/>
      <c r="J13" s="253"/>
      <c r="K13" s="269"/>
      <c r="L13" s="36"/>
    </row>
    <row r="14" spans="1:12" ht="18.5">
      <c r="A14" s="141" t="s">
        <v>193</v>
      </c>
      <c r="B14" s="253">
        <f>F6</f>
        <v>13039041.71875</v>
      </c>
      <c r="C14" s="253">
        <f>'Project summary'!C8/5</f>
        <v>1185000</v>
      </c>
      <c r="D14" s="253">
        <f>('Project summary'!C8-SUM(C11:C13))*0.12</f>
        <v>426600</v>
      </c>
      <c r="E14" s="253">
        <f>C14+D14</f>
        <v>1611600</v>
      </c>
      <c r="F14" s="256">
        <f t="shared" si="1"/>
        <v>11427441.71875</v>
      </c>
      <c r="J14" s="253"/>
      <c r="K14" s="269"/>
      <c r="L14" s="36"/>
    </row>
    <row r="15" spans="1:12" ht="18.5">
      <c r="A15" s="141" t="s">
        <v>194</v>
      </c>
      <c r="B15" s="253">
        <f>G6</f>
        <v>13087993.432812499</v>
      </c>
      <c r="C15" s="253">
        <f>'Project summary'!C8/5</f>
        <v>1185000</v>
      </c>
      <c r="D15" s="253">
        <f>('Project summary'!C8-SUM(C11:C14))*0.12</f>
        <v>284400</v>
      </c>
      <c r="E15" s="253">
        <f>C15+D15</f>
        <v>1469400</v>
      </c>
      <c r="F15" s="256">
        <f t="shared" si="1"/>
        <v>11618593.432812499</v>
      </c>
      <c r="J15" s="253"/>
      <c r="K15" s="269"/>
    </row>
    <row r="16" spans="1:12" ht="18.5">
      <c r="A16" s="141" t="s">
        <v>195</v>
      </c>
      <c r="B16" s="253">
        <f>H6</f>
        <v>27007941.138906248</v>
      </c>
      <c r="C16" s="253">
        <f>'Project summary'!C8/5</f>
        <v>1185000</v>
      </c>
      <c r="D16" s="253">
        <f>('Project summary'!C8-SUM(C11:C15))*0.12</f>
        <v>142200</v>
      </c>
      <c r="E16" s="253">
        <f>SUM(C16:D16)</f>
        <v>1327200</v>
      </c>
      <c r="F16" s="256">
        <f t="shared" si="1"/>
        <v>25680741.138906248</v>
      </c>
      <c r="J16" s="253"/>
      <c r="K16" s="269"/>
    </row>
    <row r="18" spans="1:11" ht="15.5">
      <c r="D18" s="384" t="s">
        <v>196</v>
      </c>
      <c r="E18" s="384"/>
      <c r="F18" s="257">
        <v>0.08</v>
      </c>
    </row>
    <row r="19" spans="1:11">
      <c r="A19" s="48" t="s">
        <v>197</v>
      </c>
    </row>
    <row r="20" spans="1:11" ht="28">
      <c r="A20" s="49" t="s">
        <v>175</v>
      </c>
      <c r="B20" s="45" t="s">
        <v>198</v>
      </c>
      <c r="C20" s="50" t="s">
        <v>199</v>
      </c>
      <c r="D20" s="50" t="s">
        <v>200</v>
      </c>
      <c r="E20" s="50" t="s">
        <v>201</v>
      </c>
      <c r="F20" s="165" t="s">
        <v>248</v>
      </c>
      <c r="G20" s="165" t="s">
        <v>173</v>
      </c>
      <c r="J20" s="36"/>
    </row>
    <row r="21" spans="1:11" ht="17.5">
      <c r="A21" s="52">
        <v>0</v>
      </c>
      <c r="B21" s="151">
        <f>-(Investment!F27)</f>
        <v>-10500000</v>
      </c>
      <c r="C21" s="253">
        <f>B21/(1+F18)^A21</f>
        <v>-10500000</v>
      </c>
      <c r="D21" s="253"/>
      <c r="E21" s="253"/>
      <c r="F21" s="255"/>
      <c r="G21" s="255"/>
    </row>
    <row r="22" spans="1:11" ht="17.5">
      <c r="A22" s="53">
        <v>1</v>
      </c>
      <c r="B22" s="258">
        <f>B11-E11</f>
        <v>-2728500</v>
      </c>
      <c r="C22" s="253">
        <f>B22/(1+F18)^A22</f>
        <v>-2526388.8888888885</v>
      </c>
      <c r="D22" s="253">
        <f>C3/(1+F18)^A22</f>
        <v>6478402.7777777771</v>
      </c>
      <c r="E22" s="253">
        <f>C4/(1+F18)^A22</f>
        <v>8346458.333333333</v>
      </c>
      <c r="F22" s="259">
        <f>NPV(F18,C21,C22)</f>
        <v>-11888193.491845753</v>
      </c>
      <c r="G22" s="261" t="e">
        <f>IRR(B21:B22,F18)</f>
        <v>#NUM!</v>
      </c>
    </row>
    <row r="23" spans="1:11" ht="17.5">
      <c r="A23" s="53">
        <v>2</v>
      </c>
      <c r="B23" s="258">
        <f>B12-E12</f>
        <v>11133587.5</v>
      </c>
      <c r="C23" s="253">
        <f>B23/(1+F18)^A23</f>
        <v>9545256.7729766797</v>
      </c>
      <c r="D23" s="253">
        <f>D3/(1+F18)^A23</f>
        <v>22681262.860082302</v>
      </c>
      <c r="E23" s="253">
        <f>D4/(1+F18)^A23</f>
        <v>11510491.683813442</v>
      </c>
      <c r="F23" s="259">
        <f>NPV(F18,C21,C22,C23)</f>
        <v>-4310860.9166407241</v>
      </c>
      <c r="G23" s="260">
        <f>IRR(B21:B23,F18)</f>
        <v>-9.2034983270259371E-2</v>
      </c>
    </row>
    <row r="24" spans="1:11" ht="17.5">
      <c r="A24" s="53">
        <v>3</v>
      </c>
      <c r="B24" s="258">
        <f>B13-E13</f>
        <v>11230968.125</v>
      </c>
      <c r="C24" s="253">
        <f>B24/(1+F18)^A24</f>
        <v>8915504.5954948422</v>
      </c>
      <c r="D24" s="253">
        <f>E3/(1+F18)^A24</f>
        <v>21001169.314891022</v>
      </c>
      <c r="E24" s="253">
        <f>E4/(1+F18)^A24</f>
        <v>10693441.735095004</v>
      </c>
      <c r="F24" s="259">
        <f>NPV(F18,C21,C22,C23,C24)</f>
        <v>2242301.1137919524</v>
      </c>
      <c r="G24" s="260">
        <f>IRR(B21:B24,F18)</f>
        <v>0.25832694691863062</v>
      </c>
      <c r="I24" s="142"/>
    </row>
    <row r="25" spans="1:11" ht="17.5">
      <c r="A25" s="53">
        <v>4</v>
      </c>
      <c r="B25" s="258">
        <f>B14-E14</f>
        <v>11427441.71875</v>
      </c>
      <c r="C25" s="253">
        <f>B25/(1+F18)^A25</f>
        <v>8399510.804372862</v>
      </c>
      <c r="D25" s="253">
        <f>F3/(1+F18)^A25</f>
        <v>19445527.143417608</v>
      </c>
      <c r="E25" s="253">
        <f>F4/(1+F18)^A25</f>
        <v>9861442.2282779831</v>
      </c>
      <c r="F25" s="259">
        <f>NPV(F18,C21,C22,C23,C24,C25)</f>
        <v>7958867.0305515844</v>
      </c>
      <c r="G25" s="260">
        <f>IRR(B21:B25,F18)</f>
        <v>0.41269859005830073</v>
      </c>
    </row>
    <row r="26" spans="1:11" ht="17.5">
      <c r="A26" s="53">
        <v>5</v>
      </c>
      <c r="B26" s="258">
        <f>B15-E15</f>
        <v>11618593.432812499</v>
      </c>
      <c r="C26" s="253">
        <f>B26/(1+F18)^A26</f>
        <v>7907419.4635388982</v>
      </c>
      <c r="D26" s="253">
        <f>G3/(1+F18)^A26</f>
        <v>18005117.725386675</v>
      </c>
      <c r="E26" s="253">
        <f>G4/(1+F18)^A26</f>
        <v>9097649.3121263813</v>
      </c>
      <c r="F26" s="259">
        <f>NPV(F18,C21,C22,C23,C24,C25,C26)</f>
        <v>12941882.60349809</v>
      </c>
      <c r="G26" s="260">
        <f>IRR(B21:B26,F18)</f>
        <v>0.48913739568155995</v>
      </c>
      <c r="I26" s="142"/>
    </row>
    <row r="27" spans="1:11" ht="17.5">
      <c r="A27" s="53">
        <v>6</v>
      </c>
      <c r="B27" s="258">
        <f>F16</f>
        <v>25680741.138906248</v>
      </c>
      <c r="C27" s="253">
        <f>B27/(1+F18)^A27</f>
        <v>16183223.061586143</v>
      </c>
      <c r="D27" s="253">
        <f>H3/(1+F18)^A27</f>
        <v>25415507.311827384</v>
      </c>
      <c r="E27" s="253">
        <f>H4/(1+F18)^A27</f>
        <v>8395923.1214419827</v>
      </c>
      <c r="F27" s="259">
        <f>NPV(F18,C21,C22,C23,C24,C25,C26,C27)</f>
        <v>22384637.824318267</v>
      </c>
      <c r="G27" s="260">
        <f>IRR(B21:B27,F18)</f>
        <v>0.5697928736755582</v>
      </c>
      <c r="I27" s="143"/>
    </row>
    <row r="29" spans="1:11">
      <c r="B29" s="47" t="s">
        <v>202</v>
      </c>
      <c r="C29" s="124">
        <f>SUM(C21:C27)</f>
        <v>37924525.809080534</v>
      </c>
      <c r="D29" s="55"/>
    </row>
    <row r="30" spans="1:11">
      <c r="B30" s="47" t="s">
        <v>173</v>
      </c>
      <c r="C30" s="56">
        <f>IRR(B21:B27,F18)</f>
        <v>0.5697928736755582</v>
      </c>
      <c r="F30" s="44"/>
      <c r="G30" s="51"/>
      <c r="H30" s="146"/>
      <c r="I30" s="51"/>
      <c r="J30" s="51"/>
      <c r="K30" s="51"/>
    </row>
    <row r="31" spans="1:11">
      <c r="B31" s="47" t="s">
        <v>203</v>
      </c>
      <c r="C31" s="57">
        <f>SUM(D22:D27)/SUM(E22:E27)</f>
        <v>1.9519245979401989</v>
      </c>
      <c r="E31" s="44"/>
      <c r="G31" s="51"/>
      <c r="H31" s="146"/>
      <c r="I31" s="51"/>
      <c r="J31" s="54"/>
      <c r="K31" s="51"/>
    </row>
    <row r="32" spans="1:11">
      <c r="G32" s="51"/>
      <c r="H32" s="51"/>
      <c r="I32" s="51"/>
      <c r="J32" s="51"/>
      <c r="K32" s="51"/>
    </row>
    <row r="33" spans="1:7">
      <c r="A33" s="385" t="s">
        <v>204</v>
      </c>
      <c r="B33" s="385"/>
      <c r="C33" s="58"/>
      <c r="D33" s="58"/>
      <c r="E33" s="58"/>
      <c r="F33" s="58"/>
    </row>
    <row r="34" spans="1:7" ht="15">
      <c r="A34" s="386" t="s">
        <v>205</v>
      </c>
      <c r="B34" s="386"/>
      <c r="C34" s="386"/>
      <c r="D34" s="386"/>
      <c r="E34" s="386"/>
      <c r="F34" s="386"/>
      <c r="G34" s="386"/>
    </row>
    <row r="35" spans="1:7" ht="15">
      <c r="A35" s="386" t="s">
        <v>250</v>
      </c>
      <c r="B35" s="386"/>
      <c r="C35" s="386"/>
      <c r="D35" s="386"/>
      <c r="E35" s="386"/>
      <c r="F35" s="386"/>
      <c r="G35" s="386"/>
    </row>
  </sheetData>
  <mergeCells count="5">
    <mergeCell ref="A1:G1"/>
    <mergeCell ref="D18:E18"/>
    <mergeCell ref="A33:B33"/>
    <mergeCell ref="A34:G34"/>
    <mergeCell ref="A35:G35"/>
  </mergeCells>
  <pageMargins left="0.7" right="0.7" top="0.75" bottom="0.75" header="0.3" footer="0.3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7:N13"/>
  <sheetViews>
    <sheetView tabSelected="1" topLeftCell="B1" zoomScale="120" zoomScaleNormal="120" workbookViewId="0">
      <selection activeCell="I9" sqref="I9"/>
    </sheetView>
  </sheetViews>
  <sheetFormatPr defaultRowHeight="14.5"/>
  <cols>
    <col min="1" max="1" width="10.81640625" customWidth="1"/>
    <col min="2" max="2" width="13.7265625" customWidth="1"/>
    <col min="5" max="6" width="10.7265625" customWidth="1"/>
    <col min="7" max="7" width="14.54296875" customWidth="1"/>
    <col min="8" max="8" width="9.54296875" bestFit="1" customWidth="1"/>
    <col min="9" max="9" width="12.453125" customWidth="1"/>
    <col min="10" max="10" width="9.26953125" bestFit="1" customWidth="1"/>
    <col min="11" max="11" width="9.26953125" customWidth="1"/>
    <col min="12" max="12" width="12.54296875" customWidth="1"/>
    <col min="13" max="13" width="12" customWidth="1"/>
    <col min="14" max="14" width="14.1796875" customWidth="1"/>
  </cols>
  <sheetData>
    <row r="7" spans="1:14"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</row>
    <row r="8" spans="1:14" ht="72.5">
      <c r="A8" s="262" t="s">
        <v>255</v>
      </c>
      <c r="B8" s="263" t="s">
        <v>256</v>
      </c>
      <c r="C8" s="263" t="s">
        <v>257</v>
      </c>
      <c r="D8" s="263" t="s">
        <v>258</v>
      </c>
      <c r="E8" s="263" t="s">
        <v>259</v>
      </c>
      <c r="F8" s="263" t="s">
        <v>351</v>
      </c>
      <c r="G8" s="263" t="s">
        <v>352</v>
      </c>
      <c r="H8" s="263" t="s">
        <v>270</v>
      </c>
      <c r="I8" s="263" t="s">
        <v>260</v>
      </c>
      <c r="J8" s="263" t="s">
        <v>261</v>
      </c>
      <c r="K8" s="263" t="s">
        <v>274</v>
      </c>
      <c r="L8" s="263" t="s">
        <v>262</v>
      </c>
      <c r="M8" s="263" t="s">
        <v>269</v>
      </c>
      <c r="N8" s="263" t="s">
        <v>263</v>
      </c>
    </row>
    <row r="9" spans="1:14">
      <c r="A9" s="33" t="s">
        <v>264</v>
      </c>
      <c r="B9" s="179">
        <v>1800</v>
      </c>
      <c r="C9" s="179">
        <v>180</v>
      </c>
      <c r="D9" s="179">
        <v>1620</v>
      </c>
      <c r="E9" s="179" t="s">
        <v>265</v>
      </c>
      <c r="F9" s="179" t="s">
        <v>106</v>
      </c>
      <c r="G9" s="180">
        <v>607500</v>
      </c>
      <c r="H9" s="180" t="s">
        <v>106</v>
      </c>
      <c r="I9" s="180">
        <v>1200000</v>
      </c>
      <c r="J9" s="180">
        <v>324000</v>
      </c>
      <c r="K9" s="180">
        <v>3011250</v>
      </c>
      <c r="L9" s="180">
        <f>SUM(G9:K9)</f>
        <v>5142750</v>
      </c>
      <c r="M9" s="180">
        <v>6480000</v>
      </c>
      <c r="N9" s="180">
        <f>M9-L9</f>
        <v>1337250</v>
      </c>
    </row>
    <row r="10" spans="1:14">
      <c r="A10" s="33" t="s">
        <v>266</v>
      </c>
      <c r="B10" s="179">
        <v>1800</v>
      </c>
      <c r="C10" s="179">
        <v>180</v>
      </c>
      <c r="D10" s="179">
        <v>1620</v>
      </c>
      <c r="E10" s="179" t="s">
        <v>267</v>
      </c>
      <c r="F10" s="179" t="s">
        <v>106</v>
      </c>
      <c r="G10" s="180">
        <f>523.26*25000</f>
        <v>13081500</v>
      </c>
      <c r="H10" s="180" t="s">
        <v>106</v>
      </c>
      <c r="I10" s="180">
        <v>1200000</v>
      </c>
      <c r="J10" s="180">
        <v>648000</v>
      </c>
      <c r="K10" s="180">
        <v>3011250</v>
      </c>
      <c r="L10" s="180">
        <f t="shared" ref="L10" si="0">SUM(G10:K10)</f>
        <v>17940750</v>
      </c>
      <c r="M10" s="180">
        <f>1540*20000</f>
        <v>30800000</v>
      </c>
      <c r="N10" s="180">
        <f>M10-L10</f>
        <v>12859250</v>
      </c>
    </row>
    <row r="11" spans="1:14">
      <c r="A11" s="33" t="s">
        <v>268</v>
      </c>
      <c r="B11" s="179">
        <v>1800</v>
      </c>
      <c r="C11" s="179">
        <v>180</v>
      </c>
      <c r="D11" s="179">
        <v>1620</v>
      </c>
      <c r="E11" s="179">
        <v>301.5</v>
      </c>
      <c r="F11" s="179">
        <f>1540*180*5/1000</f>
        <v>1386</v>
      </c>
      <c r="G11" s="180">
        <f>301.5*25000</f>
        <v>7537500</v>
      </c>
      <c r="H11" s="180">
        <f>F11*3000</f>
        <v>4158000</v>
      </c>
      <c r="I11" s="180">
        <v>1200000</v>
      </c>
      <c r="J11" s="180">
        <v>648000</v>
      </c>
      <c r="K11" s="180">
        <v>3011250</v>
      </c>
      <c r="L11" s="180">
        <f>SUM(G11:K11)</f>
        <v>16554750</v>
      </c>
      <c r="M11" s="180">
        <f>1540*100*200</f>
        <v>30800000</v>
      </c>
      <c r="N11" s="180">
        <f>M11-L11</f>
        <v>14245250</v>
      </c>
    </row>
    <row r="12" spans="1:14">
      <c r="B12" s="178"/>
      <c r="C12" s="178"/>
      <c r="D12" s="178"/>
      <c r="E12" s="178"/>
      <c r="F12" s="178"/>
      <c r="H12" s="178"/>
      <c r="J12" s="178"/>
      <c r="K12" s="178"/>
      <c r="L12" s="181"/>
      <c r="M12" s="178"/>
      <c r="N12" s="178"/>
    </row>
    <row r="13" spans="1:14">
      <c r="G13" s="36"/>
      <c r="H13" s="36"/>
    </row>
  </sheetData>
  <pageMargins left="0.7" right="0.7" top="0.75" bottom="0.75" header="0.3" footer="0.3"/>
  <pageSetup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6:H19"/>
  <sheetViews>
    <sheetView workbookViewId="0">
      <selection activeCell="L14" sqref="L14"/>
    </sheetView>
  </sheetViews>
  <sheetFormatPr defaultRowHeight="14.5"/>
  <cols>
    <col min="3" max="3" width="14.1796875" customWidth="1"/>
    <col min="4" max="4" width="13.81640625" customWidth="1"/>
    <col min="5" max="5" width="14.453125" customWidth="1"/>
    <col min="6" max="6" width="13.7265625" customWidth="1"/>
    <col min="7" max="7" width="17" customWidth="1"/>
  </cols>
  <sheetData>
    <row r="6" spans="2:8">
      <c r="E6" t="s">
        <v>196</v>
      </c>
      <c r="G6" s="142">
        <v>0.12</v>
      </c>
    </row>
    <row r="7" spans="2:8">
      <c r="B7" t="s">
        <v>197</v>
      </c>
    </row>
    <row r="8" spans="2:8">
      <c r="B8" t="s">
        <v>175</v>
      </c>
      <c r="C8" t="s">
        <v>198</v>
      </c>
      <c r="D8" s="264" t="s">
        <v>199</v>
      </c>
      <c r="E8" s="264" t="s">
        <v>200</v>
      </c>
      <c r="F8" s="264" t="s">
        <v>201</v>
      </c>
      <c r="G8" s="264" t="s">
        <v>248</v>
      </c>
      <c r="H8" s="264" t="s">
        <v>173</v>
      </c>
    </row>
    <row r="9" spans="2:8">
      <c r="B9">
        <v>0</v>
      </c>
      <c r="C9" s="36">
        <v>-11000000</v>
      </c>
      <c r="D9" s="36">
        <v>-11000000</v>
      </c>
      <c r="E9" s="36"/>
      <c r="F9" s="36"/>
    </row>
    <row r="10" spans="2:8">
      <c r="B10">
        <v>1</v>
      </c>
      <c r="C10" s="264">
        <v>5562675</v>
      </c>
      <c r="D10" s="36">
        <v>4966674.1071428563</v>
      </c>
      <c r="E10" s="36">
        <v>5647031.2499999991</v>
      </c>
      <c r="F10" s="36">
        <v>8365219.6428571418</v>
      </c>
      <c r="G10" s="44">
        <v>-5862026.3814231055</v>
      </c>
      <c r="H10" s="142" t="s">
        <v>249</v>
      </c>
    </row>
    <row r="11" spans="2:8">
      <c r="B11">
        <v>2</v>
      </c>
      <c r="C11" s="264">
        <v>21735425</v>
      </c>
      <c r="D11" s="36">
        <v>17327347.735969387</v>
      </c>
      <c r="E11" s="36">
        <v>18947245.695153058</v>
      </c>
      <c r="F11" s="36">
        <v>11365731.82397959</v>
      </c>
      <c r="G11" s="44">
        <v>6471237.4840343287</v>
      </c>
      <c r="H11" s="142">
        <v>0.68109263663694208</v>
      </c>
    </row>
    <row r="12" spans="2:8">
      <c r="B12">
        <v>3</v>
      </c>
      <c r="C12" s="264">
        <v>21887825</v>
      </c>
      <c r="D12" s="36">
        <v>15579321.50259657</v>
      </c>
      <c r="E12" s="36">
        <v>16917183.656386659</v>
      </c>
      <c r="F12" s="36">
        <v>10171879.982461732</v>
      </c>
      <c r="G12" s="44">
        <v>16372177.948215567</v>
      </c>
      <c r="H12" s="142">
        <v>0.99554818126013844</v>
      </c>
    </row>
    <row r="13" spans="2:8">
      <c r="B13">
        <v>4</v>
      </c>
      <c r="C13" s="264">
        <v>22040225</v>
      </c>
      <c r="D13" s="36">
        <v>14006961.43961012</v>
      </c>
      <c r="E13" s="36">
        <v>15104628.264630945</v>
      </c>
      <c r="F13" s="36">
        <v>9041188.7274141945</v>
      </c>
      <c r="G13" s="44">
        <v>24320104.036065198</v>
      </c>
      <c r="H13" s="142">
        <v>1.1065007013495958</v>
      </c>
    </row>
    <row r="14" spans="2:8">
      <c r="B14">
        <v>5</v>
      </c>
      <c r="C14" s="264">
        <v>22192625</v>
      </c>
      <c r="D14" s="36">
        <v>12592691.423891978</v>
      </c>
      <c r="E14" s="36">
        <v>13486275.236277629</v>
      </c>
      <c r="F14" s="36">
        <v>8039666.4761813171</v>
      </c>
      <c r="G14" s="44">
        <v>30699953.410791624</v>
      </c>
      <c r="H14" s="142">
        <v>1.1505389130818555</v>
      </c>
    </row>
    <row r="15" spans="2:8">
      <c r="B15">
        <v>6</v>
      </c>
      <c r="C15" s="264">
        <v>36796563.149999999</v>
      </c>
      <c r="D15" s="36">
        <v>18642284.044156581</v>
      </c>
      <c r="E15" s="36">
        <v>19362916.150919203</v>
      </c>
      <c r="F15" s="36">
        <v>7151897.6456003413</v>
      </c>
      <c r="G15" s="44">
        <v>39132775.970253341</v>
      </c>
      <c r="H15" s="142">
        <v>1.1806114257036224</v>
      </c>
    </row>
    <row r="17" spans="3:7">
      <c r="C17" t="s">
        <v>202</v>
      </c>
      <c r="D17" s="36">
        <v>39132775.970253341</v>
      </c>
      <c r="E17" s="55"/>
    </row>
    <row r="18" spans="3:7">
      <c r="C18" t="s">
        <v>173</v>
      </c>
      <c r="D18" s="142">
        <v>1.1806114257036224</v>
      </c>
      <c r="G18" s="44"/>
    </row>
    <row r="19" spans="3:7">
      <c r="C19" t="s">
        <v>203</v>
      </c>
      <c r="D19" s="265">
        <v>1.6526150297015598</v>
      </c>
      <c r="F19" s="4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5" sqref="C5"/>
    </sheetView>
  </sheetViews>
  <sheetFormatPr defaultRowHeight="14.5"/>
  <cols>
    <col min="1" max="1" width="8.1796875" customWidth="1"/>
    <col min="2" max="2" width="41.7265625" customWidth="1"/>
    <col min="3" max="3" width="46.54296875" customWidth="1"/>
  </cols>
  <sheetData>
    <row r="1" spans="1:3" ht="20.5" thickBot="1">
      <c r="A1" s="277" t="s">
        <v>68</v>
      </c>
      <c r="B1" s="277"/>
      <c r="C1" s="277"/>
    </row>
    <row r="2" spans="1:3" ht="18" thickBot="1">
      <c r="A2" s="20" t="s">
        <v>69</v>
      </c>
      <c r="B2" s="8" t="s">
        <v>70</v>
      </c>
      <c r="C2" s="8" t="s">
        <v>71</v>
      </c>
    </row>
    <row r="3" spans="1:3" ht="18" thickBot="1">
      <c r="A3" s="5">
        <v>1</v>
      </c>
      <c r="B3" s="6" t="s">
        <v>72</v>
      </c>
      <c r="C3" s="6" t="s">
        <v>73</v>
      </c>
    </row>
    <row r="4" spans="1:3" ht="18" thickBot="1">
      <c r="A4" s="5">
        <v>2</v>
      </c>
      <c r="B4" s="6" t="s">
        <v>74</v>
      </c>
      <c r="C4" s="6" t="s">
        <v>75</v>
      </c>
    </row>
    <row r="5" spans="1:3" ht="18" thickBot="1">
      <c r="A5" s="5">
        <v>3</v>
      </c>
      <c r="B5" s="6" t="s">
        <v>76</v>
      </c>
      <c r="C5" s="21">
        <f>Investment!F27</f>
        <v>10500000</v>
      </c>
    </row>
    <row r="6" spans="1:3" ht="18" thickBot="1">
      <c r="A6" s="5">
        <v>4</v>
      </c>
      <c r="B6" s="6" t="s">
        <v>77</v>
      </c>
      <c r="C6" s="21">
        <v>3000000</v>
      </c>
    </row>
    <row r="7" spans="1:3" ht="35.5" thickBot="1">
      <c r="A7" s="5">
        <v>5</v>
      </c>
      <c r="B7" s="6" t="s">
        <v>125</v>
      </c>
      <c r="C7" s="21">
        <f>C5*0.15</f>
        <v>1575000</v>
      </c>
    </row>
    <row r="8" spans="1:3" ht="18" thickBot="1">
      <c r="A8" s="5">
        <v>6</v>
      </c>
      <c r="B8" s="6" t="s">
        <v>78</v>
      </c>
      <c r="C8" s="21">
        <f>C5-C6-C7</f>
        <v>5925000</v>
      </c>
    </row>
    <row r="9" spans="1:3" ht="18" thickBot="1">
      <c r="A9" s="5">
        <v>7</v>
      </c>
      <c r="B9" s="6" t="s">
        <v>79</v>
      </c>
      <c r="C9" s="6" t="s">
        <v>80</v>
      </c>
    </row>
    <row r="10" spans="1:3" ht="18" thickBot="1">
      <c r="A10" s="5">
        <v>8</v>
      </c>
      <c r="B10" s="6" t="s">
        <v>81</v>
      </c>
      <c r="C10" s="26">
        <v>0.12</v>
      </c>
    </row>
    <row r="11" spans="1:3" ht="18" thickBot="1">
      <c r="A11" s="18">
        <v>9</v>
      </c>
      <c r="B11" s="166" t="s">
        <v>251</v>
      </c>
      <c r="C11" s="27">
        <f>'Repayment schedule'!C29</f>
        <v>37924525.809080534</v>
      </c>
    </row>
    <row r="12" spans="1:3" ht="18" thickBot="1">
      <c r="A12" s="18">
        <v>10</v>
      </c>
      <c r="B12" s="166" t="s">
        <v>252</v>
      </c>
      <c r="C12" s="28">
        <f>'Repayment schedule'!C31</f>
        <v>1.9519245979401989</v>
      </c>
    </row>
    <row r="13" spans="1:3" ht="18" thickBot="1">
      <c r="A13" s="18">
        <v>11</v>
      </c>
      <c r="B13" s="19" t="s">
        <v>82</v>
      </c>
      <c r="C13" s="29">
        <f>'Repayment schedule'!C30</f>
        <v>0.5697928736755582</v>
      </c>
    </row>
  </sheetData>
  <mergeCells count="1">
    <mergeCell ref="A1:C1"/>
  </mergeCells>
  <hyperlinks>
    <hyperlink ref="B11" r:id="rId1"/>
    <hyperlink ref="B12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zoomScale="120" zoomScaleNormal="120" workbookViewId="0">
      <pane ySplit="1" topLeftCell="A17" activePane="bottomLeft" state="frozen"/>
      <selection pane="bottomLeft" activeCell="F24" sqref="F24"/>
    </sheetView>
  </sheetViews>
  <sheetFormatPr defaultColWidth="9.1796875" defaultRowHeight="13"/>
  <cols>
    <col min="1" max="1" width="7.1796875" style="190" bestFit="1" customWidth="1"/>
    <col min="2" max="2" width="30.453125" style="190" bestFit="1" customWidth="1"/>
    <col min="3" max="3" width="25" style="190" bestFit="1" customWidth="1"/>
    <col min="4" max="4" width="15.453125" style="190" bestFit="1" customWidth="1"/>
    <col min="5" max="5" width="11.7265625" style="190" bestFit="1" customWidth="1"/>
    <col min="6" max="6" width="13.54296875" style="190" bestFit="1" customWidth="1"/>
    <col min="7" max="16384" width="9.1796875" style="190"/>
  </cols>
  <sheetData>
    <row r="1" spans="1:8" ht="26.5" thickBot="1">
      <c r="A1" s="187" t="s">
        <v>35</v>
      </c>
      <c r="B1" s="188" t="s">
        <v>84</v>
      </c>
      <c r="C1" s="189" t="s">
        <v>85</v>
      </c>
      <c r="D1" s="189" t="s">
        <v>86</v>
      </c>
      <c r="E1" s="188" t="s">
        <v>331</v>
      </c>
      <c r="F1" s="189" t="s">
        <v>87</v>
      </c>
    </row>
    <row r="2" spans="1:8" ht="13.5" thickBot="1">
      <c r="A2" s="191">
        <v>1</v>
      </c>
      <c r="B2" s="192" t="s">
        <v>88</v>
      </c>
      <c r="C2" s="193"/>
      <c r="D2" s="193"/>
      <c r="E2" s="193"/>
      <c r="F2" s="194"/>
    </row>
    <row r="3" spans="1:8" ht="13.5" thickBot="1">
      <c r="A3" s="195"/>
      <c r="B3" s="196" t="s">
        <v>89</v>
      </c>
      <c r="C3" s="196" t="s">
        <v>90</v>
      </c>
      <c r="D3" s="196">
        <v>100</v>
      </c>
      <c r="E3" s="197">
        <f>'Techno economic parameters'!C42</f>
        <v>24000</v>
      </c>
      <c r="F3" s="197">
        <f>D3*E3</f>
        <v>2400000</v>
      </c>
    </row>
    <row r="4" spans="1:8" ht="13.5" thickBot="1">
      <c r="A4" s="195"/>
      <c r="B4" s="196" t="s">
        <v>91</v>
      </c>
      <c r="C4" s="196" t="s">
        <v>92</v>
      </c>
      <c r="D4" s="196">
        <v>10</v>
      </c>
      <c r="E4" s="197">
        <f>'Techno economic parameters'!C43</f>
        <v>27000</v>
      </c>
      <c r="F4" s="197">
        <f>D4*E4</f>
        <v>270000</v>
      </c>
    </row>
    <row r="5" spans="1:8" ht="13.5" thickBot="1">
      <c r="A5" s="195"/>
      <c r="B5" s="196" t="s">
        <v>93</v>
      </c>
      <c r="C5" s="198"/>
      <c r="D5" s="196">
        <v>110</v>
      </c>
      <c r="E5" s="196">
        <v>500</v>
      </c>
      <c r="F5" s="197">
        <f>D5*E5</f>
        <v>55000</v>
      </c>
    </row>
    <row r="6" spans="1:8" ht="15.75" customHeight="1" thickBot="1">
      <c r="A6" s="195"/>
      <c r="B6" s="285" t="s">
        <v>355</v>
      </c>
      <c r="C6" s="286"/>
      <c r="D6" s="286"/>
      <c r="E6" s="286"/>
      <c r="F6" s="211">
        <f>SUM(F3:F5)</f>
        <v>2725000</v>
      </c>
    </row>
    <row r="7" spans="1:8" ht="13.5" thickBot="1">
      <c r="A7" s="191">
        <v>2</v>
      </c>
      <c r="B7" s="192" t="s">
        <v>94</v>
      </c>
      <c r="C7" s="193"/>
      <c r="D7" s="193"/>
      <c r="E7" s="193"/>
      <c r="F7" s="194"/>
    </row>
    <row r="8" spans="1:8" ht="13.5" thickBot="1">
      <c r="A8" s="195"/>
      <c r="B8" s="196" t="s">
        <v>95</v>
      </c>
      <c r="C8" s="196" t="s">
        <v>332</v>
      </c>
      <c r="D8" s="196">
        <v>700</v>
      </c>
      <c r="E8" s="196">
        <f>'Techno economic parameters'!C11</f>
        <v>200</v>
      </c>
      <c r="F8" s="197">
        <f t="shared" ref="F8:F14" si="0">D8*E8</f>
        <v>140000</v>
      </c>
    </row>
    <row r="9" spans="1:8" ht="13.5" thickBot="1">
      <c r="A9" s="195"/>
      <c r="B9" s="196" t="s">
        <v>238</v>
      </c>
      <c r="C9" s="196" t="s">
        <v>96</v>
      </c>
      <c r="D9" s="196">
        <v>4000</v>
      </c>
      <c r="E9" s="196">
        <f>'Techno economic parameters'!C14</f>
        <v>250</v>
      </c>
      <c r="F9" s="197">
        <f t="shared" si="0"/>
        <v>1000000</v>
      </c>
    </row>
    <row r="10" spans="1:8" ht="13.5" thickBot="1">
      <c r="A10" s="195"/>
      <c r="B10" s="196" t="s">
        <v>97</v>
      </c>
      <c r="C10" s="196" t="s">
        <v>98</v>
      </c>
      <c r="D10" s="196">
        <v>2000</v>
      </c>
      <c r="E10" s="196">
        <f>'Techno economic parameters'!C12</f>
        <v>200</v>
      </c>
      <c r="F10" s="197">
        <f t="shared" si="0"/>
        <v>400000</v>
      </c>
    </row>
    <row r="11" spans="1:8" ht="13.5" thickBot="1">
      <c r="A11" s="195"/>
      <c r="B11" s="196" t="s">
        <v>99</v>
      </c>
      <c r="C11" s="196" t="s">
        <v>100</v>
      </c>
      <c r="D11" s="196">
        <v>4000</v>
      </c>
      <c r="E11" s="196">
        <f>'Techno economic parameters'!C13</f>
        <v>250</v>
      </c>
      <c r="F11" s="196">
        <f t="shared" si="0"/>
        <v>1000000</v>
      </c>
    </row>
    <row r="12" spans="1:8" ht="13.5" thickBot="1">
      <c r="A12" s="195"/>
      <c r="B12" s="196" t="s">
        <v>101</v>
      </c>
      <c r="C12" s="196" t="s">
        <v>333</v>
      </c>
      <c r="D12" s="196">
        <v>18000</v>
      </c>
      <c r="E12" s="196">
        <f>'Techno economic parameters'!C15</f>
        <v>200</v>
      </c>
      <c r="F12" s="197">
        <f t="shared" si="0"/>
        <v>3600000</v>
      </c>
    </row>
    <row r="13" spans="1:8" ht="13.5" thickBot="1">
      <c r="A13" s="195"/>
      <c r="B13" s="196" t="s">
        <v>239</v>
      </c>
      <c r="C13" s="196" t="s">
        <v>102</v>
      </c>
      <c r="D13" s="196">
        <v>1000</v>
      </c>
      <c r="E13" s="196">
        <f>'Techno economic parameters'!C16</f>
        <v>200</v>
      </c>
      <c r="F13" s="196">
        <f t="shared" si="0"/>
        <v>200000</v>
      </c>
    </row>
    <row r="14" spans="1:8" ht="13.5" thickBot="1">
      <c r="A14" s="195"/>
      <c r="B14" s="196" t="s">
        <v>103</v>
      </c>
      <c r="C14" s="198"/>
      <c r="D14" s="196">
        <v>500</v>
      </c>
      <c r="E14" s="196">
        <f>'Techno economic parameters'!C17</f>
        <v>200</v>
      </c>
      <c r="F14" s="196">
        <f t="shared" si="0"/>
        <v>100000</v>
      </c>
      <c r="H14" s="199"/>
    </row>
    <row r="15" spans="1:8" ht="15.75" customHeight="1" thickBot="1">
      <c r="A15" s="195"/>
      <c r="B15" s="285" t="s">
        <v>336</v>
      </c>
      <c r="C15" s="286"/>
      <c r="D15" s="286"/>
      <c r="E15" s="286"/>
      <c r="F15" s="211">
        <f>SUM(F8:F14)</f>
        <v>6440000</v>
      </c>
      <c r="H15" s="199"/>
    </row>
    <row r="16" spans="1:8" ht="13.5" thickBot="1">
      <c r="A16" s="191">
        <v>3</v>
      </c>
      <c r="B16" s="192" t="s">
        <v>104</v>
      </c>
      <c r="C16" s="193"/>
      <c r="D16" s="193"/>
      <c r="E16" s="193"/>
      <c r="F16" s="194"/>
    </row>
    <row r="17" spans="1:7" ht="13.5" thickBot="1">
      <c r="A17" s="195"/>
      <c r="B17" s="196" t="s">
        <v>105</v>
      </c>
      <c r="C17" s="196" t="s">
        <v>106</v>
      </c>
      <c r="D17" s="196" t="s">
        <v>106</v>
      </c>
      <c r="E17" s="196" t="s">
        <v>106</v>
      </c>
      <c r="F17" s="196">
        <v>200000</v>
      </c>
    </row>
    <row r="18" spans="1:7" ht="13.5" thickBot="1">
      <c r="A18" s="195"/>
      <c r="B18" s="196" t="s">
        <v>107</v>
      </c>
      <c r="C18" s="196" t="s">
        <v>106</v>
      </c>
      <c r="D18" s="196" t="s">
        <v>106</v>
      </c>
      <c r="E18" s="196" t="s">
        <v>106</v>
      </c>
      <c r="F18" s="196">
        <v>300000</v>
      </c>
    </row>
    <row r="19" spans="1:7" ht="13.5" thickBot="1">
      <c r="A19" s="195"/>
      <c r="B19" s="196" t="s">
        <v>108</v>
      </c>
      <c r="C19" s="205" t="s">
        <v>106</v>
      </c>
      <c r="D19" s="196" t="s">
        <v>106</v>
      </c>
      <c r="E19" s="196" t="s">
        <v>106</v>
      </c>
      <c r="F19" s="196">
        <v>200000</v>
      </c>
    </row>
    <row r="20" spans="1:7" ht="13.5" thickBot="1">
      <c r="A20" s="195"/>
      <c r="B20" s="204" t="s">
        <v>334</v>
      </c>
      <c r="C20" s="206"/>
      <c r="D20" s="196">
        <v>110</v>
      </c>
      <c r="E20" s="196">
        <v>500</v>
      </c>
      <c r="F20" s="197">
        <f>D20*E20</f>
        <v>55000</v>
      </c>
    </row>
    <row r="21" spans="1:7" ht="13.5" thickBot="1">
      <c r="A21" s="195"/>
      <c r="B21" s="209" t="s">
        <v>335</v>
      </c>
      <c r="C21" s="210"/>
      <c r="D21" s="205">
        <v>1800</v>
      </c>
      <c r="E21" s="205">
        <v>100</v>
      </c>
      <c r="F21" s="197">
        <f>D21*E21</f>
        <v>180000</v>
      </c>
    </row>
    <row r="22" spans="1:7" ht="13.5" thickBot="1">
      <c r="A22" s="208"/>
      <c r="B22" s="287" t="s">
        <v>25</v>
      </c>
      <c r="C22" s="287"/>
      <c r="D22" s="287"/>
      <c r="E22" s="287"/>
      <c r="F22" s="211">
        <f>SUM(F17:F21)</f>
        <v>935000</v>
      </c>
    </row>
    <row r="23" spans="1:7" ht="13.5" thickBot="1">
      <c r="A23" s="208"/>
      <c r="B23" s="282" t="s">
        <v>356</v>
      </c>
      <c r="C23" s="283"/>
      <c r="D23" s="283"/>
      <c r="E23" s="284"/>
      <c r="F23" s="211">
        <f>F15+F22</f>
        <v>7375000</v>
      </c>
    </row>
    <row r="24" spans="1:7" ht="13.5" thickBot="1">
      <c r="A24" s="191">
        <v>4</v>
      </c>
      <c r="B24" s="196" t="s">
        <v>109</v>
      </c>
      <c r="C24" s="205" t="s">
        <v>110</v>
      </c>
      <c r="D24" s="196">
        <v>110</v>
      </c>
      <c r="E24" s="196" t="s">
        <v>106</v>
      </c>
      <c r="F24" s="197">
        <f>(100*24000*0.075+10*27000*0.075)</f>
        <v>200250</v>
      </c>
    </row>
    <row r="25" spans="1:7" ht="25.5" thickBot="1">
      <c r="A25" s="195">
        <v>5</v>
      </c>
      <c r="B25" s="204" t="s">
        <v>244</v>
      </c>
      <c r="C25" s="206"/>
      <c r="D25" s="196">
        <v>110</v>
      </c>
      <c r="E25" s="196">
        <v>1000</v>
      </c>
      <c r="F25" s="200">
        <f>D25*E25</f>
        <v>110000</v>
      </c>
    </row>
    <row r="26" spans="1:7" ht="13.5" thickBot="1">
      <c r="A26" s="191">
        <v>6</v>
      </c>
      <c r="B26" s="204" t="s">
        <v>111</v>
      </c>
      <c r="C26" s="207"/>
      <c r="D26" s="198"/>
      <c r="E26" s="201"/>
      <c r="F26" s="202">
        <v>89750</v>
      </c>
      <c r="G26" s="203"/>
    </row>
    <row r="27" spans="1:7" ht="13.5" thickBot="1">
      <c r="A27" s="278" t="s">
        <v>112</v>
      </c>
      <c r="B27" s="279"/>
      <c r="C27" s="280"/>
      <c r="D27" s="279"/>
      <c r="E27" s="281"/>
      <c r="F27" s="211">
        <f>F6+F15+F22+F24+F25+F26</f>
        <v>10500000</v>
      </c>
    </row>
  </sheetData>
  <mergeCells count="5">
    <mergeCell ref="A27:E27"/>
    <mergeCell ref="B23:E23"/>
    <mergeCell ref="B15:E15"/>
    <mergeCell ref="B22:E22"/>
    <mergeCell ref="B6:E6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92"/>
  <sheetViews>
    <sheetView workbookViewId="0">
      <pane ySplit="1" topLeftCell="A74" activePane="bottomLeft" state="frozen"/>
      <selection pane="bottomLeft" activeCell="K17" sqref="K17:L17"/>
    </sheetView>
  </sheetViews>
  <sheetFormatPr defaultRowHeight="14.5"/>
  <cols>
    <col min="1" max="1" width="6.7265625" customWidth="1"/>
    <col min="2" max="2" width="8.453125" customWidth="1"/>
    <col min="3" max="3" width="8" customWidth="1"/>
    <col min="4" max="4" width="7.1796875" customWidth="1"/>
    <col min="5" max="5" width="8.26953125" customWidth="1"/>
    <col min="6" max="6" width="8.1796875" customWidth="1"/>
    <col min="7" max="7" width="7.54296875" customWidth="1"/>
    <col min="8" max="8" width="7.453125" customWidth="1"/>
    <col min="9" max="9" width="7" customWidth="1"/>
    <col min="10" max="10" width="7.7265625" customWidth="1"/>
    <col min="11" max="11" width="6.26953125" customWidth="1"/>
    <col min="12" max="12" width="6.1796875" customWidth="1"/>
    <col min="13" max="13" width="7.1796875" customWidth="1"/>
    <col min="14" max="14" width="6.7265625" customWidth="1"/>
    <col min="15" max="15" width="7.26953125" customWidth="1"/>
    <col min="16" max="16" width="6.1796875" customWidth="1"/>
    <col min="17" max="17" width="7.1796875" customWidth="1"/>
    <col min="18" max="18" width="5.7265625" customWidth="1"/>
    <col min="19" max="19" width="7" customWidth="1"/>
    <col min="20" max="20" width="6.81640625" customWidth="1"/>
    <col min="21" max="21" width="6.453125" customWidth="1"/>
    <col min="22" max="22" width="6.1796875" customWidth="1"/>
    <col min="23" max="23" width="6.26953125" customWidth="1"/>
    <col min="24" max="24" width="6.54296875" customWidth="1"/>
  </cols>
  <sheetData>
    <row r="1" spans="1:24" ht="34.5" customHeight="1">
      <c r="A1" s="93"/>
      <c r="B1" s="93"/>
      <c r="C1" s="94" t="s">
        <v>212</v>
      </c>
      <c r="D1" s="95" t="s">
        <v>212</v>
      </c>
      <c r="E1" s="290" t="s">
        <v>213</v>
      </c>
      <c r="F1" s="291"/>
      <c r="G1" s="292" t="s">
        <v>14</v>
      </c>
      <c r="H1" s="292"/>
      <c r="I1" s="290" t="s">
        <v>167</v>
      </c>
      <c r="J1" s="291"/>
      <c r="K1" s="292" t="s">
        <v>168</v>
      </c>
      <c r="L1" s="292"/>
      <c r="M1" s="292" t="s">
        <v>214</v>
      </c>
      <c r="N1" s="292"/>
      <c r="O1" s="290" t="s">
        <v>215</v>
      </c>
      <c r="P1" s="291"/>
      <c r="Q1" s="292" t="s">
        <v>216</v>
      </c>
      <c r="R1" s="292"/>
      <c r="S1" s="293" t="s">
        <v>217</v>
      </c>
      <c r="T1" s="291"/>
      <c r="U1" s="294" t="s">
        <v>218</v>
      </c>
      <c r="V1" s="295"/>
      <c r="W1" s="292" t="s">
        <v>219</v>
      </c>
      <c r="X1" s="292"/>
    </row>
    <row r="2" spans="1:24" ht="15.5">
      <c r="A2" s="62" t="s">
        <v>175</v>
      </c>
      <c r="B2" s="62" t="s">
        <v>220</v>
      </c>
      <c r="C2" s="63" t="s">
        <v>221</v>
      </c>
      <c r="D2" s="64" t="s">
        <v>222</v>
      </c>
      <c r="E2" s="62" t="s">
        <v>221</v>
      </c>
      <c r="F2" s="62" t="s">
        <v>222</v>
      </c>
      <c r="G2" s="62" t="s">
        <v>221</v>
      </c>
      <c r="H2" s="62" t="s">
        <v>222</v>
      </c>
      <c r="I2" s="62" t="s">
        <v>221</v>
      </c>
      <c r="J2" s="62" t="s">
        <v>222</v>
      </c>
      <c r="K2" s="62" t="s">
        <v>221</v>
      </c>
      <c r="L2" s="62" t="s">
        <v>222</v>
      </c>
      <c r="M2" s="62" t="s">
        <v>221</v>
      </c>
      <c r="N2" s="62" t="s">
        <v>222</v>
      </c>
      <c r="O2" s="62" t="s">
        <v>221</v>
      </c>
      <c r="P2" s="62" t="s">
        <v>222</v>
      </c>
      <c r="Q2" s="62" t="s">
        <v>221</v>
      </c>
      <c r="R2" s="62" t="s">
        <v>222</v>
      </c>
      <c r="S2" s="62" t="s">
        <v>221</v>
      </c>
      <c r="T2" s="62" t="s">
        <v>222</v>
      </c>
      <c r="U2" s="62" t="s">
        <v>221</v>
      </c>
      <c r="V2" s="62" t="s">
        <v>222</v>
      </c>
      <c r="W2" s="62" t="s">
        <v>221</v>
      </c>
      <c r="X2" s="62" t="s">
        <v>222</v>
      </c>
    </row>
    <row r="3" spans="1:24" ht="15.5">
      <c r="A3" s="296">
        <v>1</v>
      </c>
      <c r="B3" s="65">
        <v>1</v>
      </c>
      <c r="C3" s="60" t="s">
        <v>223</v>
      </c>
      <c r="D3" s="66" t="s">
        <v>106</v>
      </c>
      <c r="E3" s="60"/>
      <c r="F3" s="65"/>
      <c r="G3" s="60"/>
      <c r="H3" s="65"/>
      <c r="I3" s="60"/>
      <c r="J3" s="65"/>
      <c r="K3" s="60"/>
      <c r="L3" s="67"/>
      <c r="M3" s="60"/>
      <c r="N3" s="67"/>
      <c r="O3" s="60"/>
      <c r="P3" s="67"/>
      <c r="Q3" s="60"/>
      <c r="R3" s="67"/>
      <c r="S3" s="60"/>
      <c r="T3" s="67"/>
      <c r="U3" s="60"/>
      <c r="V3" s="67"/>
      <c r="W3" s="60"/>
      <c r="X3" s="65"/>
    </row>
    <row r="4" spans="1:24" ht="15.5">
      <c r="A4" s="297"/>
      <c r="B4" s="65">
        <v>2</v>
      </c>
      <c r="C4" s="60" t="s">
        <v>224</v>
      </c>
      <c r="D4" s="66" t="s">
        <v>106</v>
      </c>
      <c r="E4" s="60"/>
      <c r="F4" s="65"/>
      <c r="G4" s="60"/>
      <c r="H4" s="65"/>
      <c r="I4" s="60"/>
      <c r="J4" s="65"/>
      <c r="K4" s="60"/>
      <c r="L4" s="67"/>
      <c r="M4" s="60"/>
      <c r="N4" s="67"/>
      <c r="O4" s="60"/>
      <c r="P4" s="67"/>
      <c r="Q4" s="60"/>
      <c r="R4" s="67"/>
      <c r="S4" s="60"/>
      <c r="T4" s="67"/>
      <c r="U4" s="60"/>
      <c r="V4" s="67"/>
      <c r="W4" s="60"/>
      <c r="X4" s="65"/>
    </row>
    <row r="5" spans="1:24" ht="15.5">
      <c r="A5" s="297"/>
      <c r="B5" s="65">
        <v>3</v>
      </c>
      <c r="C5" s="60" t="s">
        <v>224</v>
      </c>
      <c r="D5" s="66" t="s">
        <v>106</v>
      </c>
      <c r="E5" s="60"/>
      <c r="F5" s="65"/>
      <c r="G5" s="60"/>
      <c r="H5" s="65"/>
      <c r="I5" s="60"/>
      <c r="J5" s="65"/>
      <c r="K5" s="60"/>
      <c r="L5" s="67"/>
      <c r="M5" s="60"/>
      <c r="N5" s="67"/>
      <c r="O5" s="60"/>
      <c r="P5" s="67"/>
      <c r="Q5" s="60"/>
      <c r="R5" s="67"/>
      <c r="S5" s="60"/>
      <c r="T5" s="67"/>
      <c r="U5" s="60"/>
      <c r="V5" s="67"/>
      <c r="W5" s="60"/>
      <c r="X5" s="65"/>
    </row>
    <row r="6" spans="1:24" ht="15.5">
      <c r="A6" s="297"/>
      <c r="B6" s="65">
        <v>4</v>
      </c>
      <c r="C6" s="60" t="s">
        <v>224</v>
      </c>
      <c r="D6" s="61" t="s">
        <v>223</v>
      </c>
      <c r="E6" s="60"/>
      <c r="F6" s="65"/>
      <c r="G6" s="60"/>
      <c r="H6" s="65"/>
      <c r="I6" s="60"/>
      <c r="J6" s="65"/>
      <c r="K6" s="60"/>
      <c r="L6" s="67"/>
      <c r="M6" s="60"/>
      <c r="N6" s="67"/>
      <c r="O6" s="60"/>
      <c r="P6" s="67"/>
      <c r="Q6" s="60"/>
      <c r="R6" s="67"/>
      <c r="S6" s="60"/>
      <c r="T6" s="67"/>
      <c r="U6" s="60"/>
      <c r="V6" s="67"/>
      <c r="W6" s="60"/>
      <c r="X6" s="65"/>
    </row>
    <row r="7" spans="1:24" ht="15.5">
      <c r="A7" s="297"/>
      <c r="B7" s="65">
        <v>5</v>
      </c>
      <c r="C7" s="60" t="s">
        <v>225</v>
      </c>
      <c r="D7" s="61" t="s">
        <v>224</v>
      </c>
      <c r="E7" s="68">
        <v>450</v>
      </c>
      <c r="F7" s="65"/>
      <c r="G7" s="60"/>
      <c r="H7" s="65"/>
      <c r="I7" s="60"/>
      <c r="J7" s="65"/>
      <c r="K7" s="60"/>
      <c r="L7" s="67"/>
      <c r="M7" s="60"/>
      <c r="N7" s="67"/>
      <c r="O7" s="60"/>
      <c r="P7" s="67"/>
      <c r="Q7" s="60"/>
      <c r="R7" s="67"/>
      <c r="S7" s="60"/>
      <c r="T7" s="67"/>
      <c r="U7" s="60"/>
      <c r="V7" s="67"/>
      <c r="W7" s="60"/>
      <c r="X7" s="65"/>
    </row>
    <row r="8" spans="1:24" ht="15.5">
      <c r="A8" s="297"/>
      <c r="B8" s="65">
        <v>6</v>
      </c>
      <c r="C8" s="60" t="s">
        <v>226</v>
      </c>
      <c r="D8" s="61" t="s">
        <v>224</v>
      </c>
      <c r="E8" s="60"/>
      <c r="F8" s="65"/>
      <c r="G8" s="60"/>
      <c r="H8" s="65"/>
      <c r="I8" s="60"/>
      <c r="J8" s="65"/>
      <c r="K8" s="60"/>
      <c r="L8" s="67"/>
      <c r="M8" s="60"/>
      <c r="N8" s="67"/>
      <c r="O8" s="60"/>
      <c r="P8" s="67"/>
      <c r="Q8" s="60"/>
      <c r="R8" s="67"/>
      <c r="S8" s="60"/>
      <c r="T8" s="67"/>
      <c r="U8" s="60"/>
      <c r="V8" s="67"/>
      <c r="W8" s="60"/>
      <c r="X8" s="65"/>
    </row>
    <row r="9" spans="1:24" ht="15.5">
      <c r="A9" s="297"/>
      <c r="B9" s="65">
        <v>7</v>
      </c>
      <c r="C9" s="60" t="s">
        <v>227</v>
      </c>
      <c r="D9" s="61" t="s">
        <v>224</v>
      </c>
      <c r="E9" s="60"/>
      <c r="F9" s="65"/>
      <c r="G9" s="68">
        <v>405</v>
      </c>
      <c r="H9" s="65"/>
      <c r="I9" s="68">
        <v>96</v>
      </c>
      <c r="J9" s="65"/>
      <c r="K9" s="68">
        <f>96*2</f>
        <v>192</v>
      </c>
      <c r="L9" s="67"/>
      <c r="M9" s="68">
        <v>96</v>
      </c>
      <c r="N9" s="67"/>
      <c r="O9" s="60"/>
      <c r="P9" s="67"/>
      <c r="Q9" s="60"/>
      <c r="R9" s="67"/>
      <c r="S9" s="60"/>
      <c r="T9" s="67"/>
      <c r="U9" s="60"/>
      <c r="V9" s="67"/>
      <c r="W9" s="60"/>
      <c r="X9" s="65"/>
    </row>
    <row r="10" spans="1:24" ht="15.5">
      <c r="A10" s="297"/>
      <c r="B10" s="65">
        <v>8</v>
      </c>
      <c r="C10" s="60" t="s">
        <v>224</v>
      </c>
      <c r="D10" s="61" t="s">
        <v>225</v>
      </c>
      <c r="E10" s="60"/>
      <c r="F10" s="69">
        <v>450</v>
      </c>
      <c r="G10" s="60"/>
      <c r="H10" s="65"/>
      <c r="I10" s="70"/>
      <c r="J10" s="71"/>
      <c r="K10" s="70"/>
      <c r="L10" s="71"/>
      <c r="M10" s="70"/>
      <c r="N10" s="67"/>
      <c r="O10" s="60"/>
      <c r="P10" s="67"/>
      <c r="Q10" s="60"/>
      <c r="R10" s="67"/>
      <c r="S10" s="60"/>
      <c r="T10" s="67"/>
      <c r="U10" s="60"/>
      <c r="V10" s="67"/>
      <c r="W10" s="60"/>
      <c r="X10" s="65"/>
    </row>
    <row r="11" spans="1:24" ht="15.5">
      <c r="A11" s="297"/>
      <c r="B11" s="65">
        <v>9</v>
      </c>
      <c r="C11" s="60" t="s">
        <v>224</v>
      </c>
      <c r="D11" s="61" t="s">
        <v>226</v>
      </c>
      <c r="E11" s="60"/>
      <c r="F11" s="65"/>
      <c r="G11" s="60"/>
      <c r="H11" s="65"/>
      <c r="I11" s="60"/>
      <c r="J11" s="67"/>
      <c r="K11" s="60"/>
      <c r="L11" s="67"/>
      <c r="M11" s="60"/>
      <c r="N11" s="67"/>
      <c r="O11" s="60"/>
      <c r="P11" s="67"/>
      <c r="Q11" s="60"/>
      <c r="R11" s="67"/>
      <c r="S11" s="60"/>
      <c r="T11" s="67"/>
      <c r="U11" s="60"/>
      <c r="V11" s="67"/>
      <c r="W11" s="60"/>
      <c r="X11" s="65"/>
    </row>
    <row r="12" spans="1:24" ht="15.5">
      <c r="A12" s="297"/>
      <c r="B12" s="65">
        <v>10</v>
      </c>
      <c r="C12" s="60" t="s">
        <v>224</v>
      </c>
      <c r="D12" s="61" t="s">
        <v>227</v>
      </c>
      <c r="E12" s="60"/>
      <c r="F12" s="65"/>
      <c r="G12" s="60"/>
      <c r="H12" s="69">
        <v>405</v>
      </c>
      <c r="I12" s="60"/>
      <c r="J12" s="69">
        <v>96</v>
      </c>
      <c r="K12" s="60"/>
      <c r="L12" s="69">
        <v>192</v>
      </c>
      <c r="M12" s="60"/>
      <c r="N12" s="69">
        <v>96</v>
      </c>
      <c r="O12" s="60"/>
      <c r="P12" s="67"/>
      <c r="Q12" s="60"/>
      <c r="R12" s="67"/>
      <c r="S12" s="60"/>
      <c r="T12" s="67"/>
      <c r="U12" s="60"/>
      <c r="V12" s="67"/>
      <c r="W12" s="60"/>
      <c r="X12" s="65"/>
    </row>
    <row r="13" spans="1:24" ht="15.5">
      <c r="A13" s="297"/>
      <c r="B13" s="65">
        <v>11</v>
      </c>
      <c r="C13" s="60" t="s">
        <v>225</v>
      </c>
      <c r="D13" s="61" t="s">
        <v>224</v>
      </c>
      <c r="E13" s="72">
        <v>450</v>
      </c>
      <c r="F13" s="65"/>
      <c r="G13" s="60"/>
      <c r="H13" s="65"/>
      <c r="I13" s="60"/>
      <c r="J13" s="67"/>
      <c r="K13" s="60"/>
      <c r="L13" s="67"/>
      <c r="M13" s="60"/>
      <c r="N13" s="67"/>
      <c r="O13" s="60"/>
      <c r="P13" s="67"/>
      <c r="Q13" s="60"/>
      <c r="R13" s="67"/>
      <c r="S13" s="60"/>
      <c r="T13" s="67"/>
      <c r="U13" s="60"/>
      <c r="V13" s="67"/>
      <c r="W13" s="73"/>
      <c r="X13" s="65"/>
    </row>
    <row r="14" spans="1:24" ht="15.5">
      <c r="A14" s="298"/>
      <c r="B14" s="65">
        <v>12</v>
      </c>
      <c r="C14" s="60" t="s">
        <v>226</v>
      </c>
      <c r="D14" s="61" t="s">
        <v>224</v>
      </c>
      <c r="E14" s="60"/>
      <c r="F14" s="65"/>
      <c r="G14" s="60"/>
      <c r="H14" s="65"/>
      <c r="I14" s="60"/>
      <c r="J14" s="67"/>
      <c r="K14" s="60"/>
      <c r="L14" s="67"/>
      <c r="M14" s="60"/>
      <c r="N14" s="67"/>
      <c r="O14" s="68">
        <v>96</v>
      </c>
      <c r="P14" s="67"/>
      <c r="Q14" s="68">
        <v>192</v>
      </c>
      <c r="R14" s="67"/>
      <c r="S14" s="72">
        <v>405</v>
      </c>
      <c r="T14" s="69">
        <v>0</v>
      </c>
      <c r="U14" s="68">
        <v>0</v>
      </c>
      <c r="V14" s="69">
        <v>96</v>
      </c>
      <c r="W14" s="74">
        <v>0</v>
      </c>
      <c r="X14" s="69">
        <v>192</v>
      </c>
    </row>
    <row r="15" spans="1:24" ht="15.5">
      <c r="A15" s="75"/>
      <c r="B15" s="75"/>
      <c r="C15" s="75"/>
      <c r="D15" s="76"/>
      <c r="E15" s="299">
        <v>1350</v>
      </c>
      <c r="F15" s="299"/>
      <c r="G15" s="299">
        <v>810</v>
      </c>
      <c r="H15" s="299"/>
      <c r="I15" s="288">
        <v>192</v>
      </c>
      <c r="J15" s="289"/>
      <c r="K15" s="299">
        <v>384</v>
      </c>
      <c r="L15" s="299"/>
      <c r="M15" s="299">
        <f>96*2</f>
        <v>192</v>
      </c>
      <c r="N15" s="299"/>
      <c r="O15" s="288">
        <v>96</v>
      </c>
      <c r="P15" s="289"/>
      <c r="Q15" s="299">
        <v>192</v>
      </c>
      <c r="R15" s="299"/>
      <c r="S15" s="288">
        <v>405</v>
      </c>
      <c r="T15" s="289"/>
      <c r="U15" s="299">
        <v>96</v>
      </c>
      <c r="V15" s="299"/>
      <c r="W15" s="299">
        <v>192</v>
      </c>
      <c r="X15" s="299"/>
    </row>
    <row r="16" spans="1:24" ht="15.5">
      <c r="A16" s="77"/>
      <c r="B16" s="75"/>
      <c r="C16" s="288" t="s">
        <v>228</v>
      </c>
      <c r="D16" s="289"/>
      <c r="E16" s="75"/>
      <c r="F16" s="75"/>
      <c r="G16" s="288">
        <f>G15*60*0.25/1000</f>
        <v>12.15</v>
      </c>
      <c r="H16" s="289"/>
      <c r="I16" s="288">
        <f>((I15/2*180)+(I15/2*90))*1.8/1000</f>
        <v>46.655999999999999</v>
      </c>
      <c r="J16" s="289"/>
      <c r="K16" s="288">
        <f>((K15/2*180)+(K15/2*90))*1/1000</f>
        <v>51.84</v>
      </c>
      <c r="L16" s="289"/>
      <c r="M16" s="288"/>
      <c r="N16" s="289"/>
      <c r="O16" s="76"/>
      <c r="P16" s="78"/>
      <c r="Q16" s="288"/>
      <c r="R16" s="289"/>
      <c r="S16" s="76"/>
      <c r="T16" s="78"/>
      <c r="U16" s="288"/>
      <c r="V16" s="289"/>
      <c r="W16" s="288"/>
      <c r="X16" s="289"/>
    </row>
    <row r="17" spans="1:24" ht="15.5">
      <c r="A17" s="77"/>
      <c r="B17" s="75"/>
      <c r="C17" s="288" t="s">
        <v>229</v>
      </c>
      <c r="D17" s="289"/>
      <c r="E17" s="75"/>
      <c r="F17" s="75"/>
      <c r="G17" s="288">
        <v>0</v>
      </c>
      <c r="H17" s="289"/>
      <c r="I17" s="288">
        <v>0</v>
      </c>
      <c r="J17" s="289"/>
      <c r="K17" s="288">
        <f>((K15/2*180)+(K15/2*90))*5/1000</f>
        <v>259.2</v>
      </c>
      <c r="L17" s="289"/>
      <c r="M17" s="76"/>
      <c r="N17" s="78"/>
      <c r="O17" s="76"/>
      <c r="P17" s="78"/>
      <c r="Q17" s="76"/>
      <c r="R17" s="78"/>
      <c r="S17" s="76"/>
      <c r="T17" s="78"/>
      <c r="U17" s="76"/>
      <c r="V17" s="78"/>
      <c r="W17" s="76"/>
      <c r="X17" s="78"/>
    </row>
    <row r="18" spans="1:24" ht="15.5">
      <c r="A18" s="296">
        <v>2</v>
      </c>
      <c r="B18" s="65">
        <v>13</v>
      </c>
      <c r="C18" s="60" t="s">
        <v>227</v>
      </c>
      <c r="D18" s="61" t="s">
        <v>224</v>
      </c>
      <c r="E18" s="60"/>
      <c r="F18" s="65"/>
      <c r="G18" s="72">
        <v>405</v>
      </c>
      <c r="H18" s="65"/>
      <c r="I18" s="72">
        <v>96</v>
      </c>
      <c r="J18" s="65"/>
      <c r="K18" s="72">
        <v>192</v>
      </c>
      <c r="L18" s="67"/>
      <c r="M18" s="72">
        <v>96</v>
      </c>
      <c r="N18" s="67"/>
      <c r="O18" s="60"/>
      <c r="P18" s="67"/>
      <c r="Q18" s="60"/>
      <c r="R18" s="67"/>
      <c r="S18" s="60"/>
      <c r="T18" s="67"/>
      <c r="U18" s="60"/>
      <c r="V18" s="67"/>
      <c r="W18" s="60"/>
      <c r="X18" s="65"/>
    </row>
    <row r="19" spans="1:24" ht="15.5">
      <c r="A19" s="297"/>
      <c r="B19" s="65">
        <v>14</v>
      </c>
      <c r="C19" s="60" t="s">
        <v>224</v>
      </c>
      <c r="D19" s="61" t="s">
        <v>225</v>
      </c>
      <c r="E19" s="60"/>
      <c r="F19" s="75">
        <v>450</v>
      </c>
      <c r="G19" s="60"/>
      <c r="H19" s="65"/>
      <c r="I19" s="60"/>
      <c r="J19" s="65"/>
      <c r="K19" s="60"/>
      <c r="L19" s="67"/>
      <c r="M19" s="60"/>
      <c r="N19" s="67"/>
      <c r="O19" s="60"/>
      <c r="P19" s="67"/>
      <c r="Q19" s="60"/>
      <c r="R19" s="67"/>
      <c r="S19" s="60"/>
      <c r="T19" s="67"/>
      <c r="U19" s="60"/>
      <c r="V19" s="67"/>
      <c r="W19" s="60"/>
      <c r="X19" s="65"/>
    </row>
    <row r="20" spans="1:24" ht="15.5">
      <c r="A20" s="297"/>
      <c r="B20" s="65">
        <v>15</v>
      </c>
      <c r="C20" s="60" t="s">
        <v>224</v>
      </c>
      <c r="D20" s="61" t="s">
        <v>226</v>
      </c>
      <c r="E20" s="60"/>
      <c r="F20" s="65"/>
      <c r="G20" s="60"/>
      <c r="H20" s="65"/>
      <c r="I20" s="60"/>
      <c r="J20" s="65"/>
      <c r="K20" s="60"/>
      <c r="L20" s="67"/>
      <c r="M20" s="60"/>
      <c r="N20" s="67"/>
      <c r="O20" s="60"/>
      <c r="P20" s="69">
        <v>96</v>
      </c>
      <c r="Q20" s="60"/>
      <c r="R20" s="69">
        <v>192</v>
      </c>
      <c r="S20" s="60"/>
      <c r="T20" s="67"/>
      <c r="U20" s="60"/>
      <c r="V20" s="67"/>
      <c r="W20" s="60"/>
      <c r="X20" s="65"/>
    </row>
    <row r="21" spans="1:24" ht="15.5">
      <c r="A21" s="297"/>
      <c r="B21" s="65">
        <v>16</v>
      </c>
      <c r="C21" s="60" t="s">
        <v>224</v>
      </c>
      <c r="D21" s="61" t="s">
        <v>227</v>
      </c>
      <c r="E21" s="60"/>
      <c r="F21" s="65"/>
      <c r="G21" s="60"/>
      <c r="H21" s="75">
        <v>405</v>
      </c>
      <c r="I21" s="60"/>
      <c r="J21" s="75">
        <v>96</v>
      </c>
      <c r="K21" s="60"/>
      <c r="L21" s="75">
        <v>192</v>
      </c>
      <c r="M21" s="60"/>
      <c r="N21" s="75">
        <v>96</v>
      </c>
      <c r="O21" s="60"/>
      <c r="P21" s="67"/>
      <c r="Q21" s="60"/>
      <c r="R21" s="67"/>
      <c r="S21" s="60"/>
      <c r="T21" s="67"/>
      <c r="U21" s="60"/>
      <c r="V21" s="67"/>
      <c r="W21" s="60"/>
      <c r="X21" s="65"/>
    </row>
    <row r="22" spans="1:24" ht="15.5">
      <c r="A22" s="297"/>
      <c r="B22" s="65">
        <v>17</v>
      </c>
      <c r="C22" s="60" t="s">
        <v>225</v>
      </c>
      <c r="D22" s="61" t="s">
        <v>224</v>
      </c>
      <c r="E22" s="68">
        <v>450</v>
      </c>
      <c r="F22" s="65"/>
      <c r="G22" s="60"/>
      <c r="H22" s="65"/>
      <c r="I22" s="60"/>
      <c r="J22" s="65"/>
      <c r="K22" s="60"/>
      <c r="L22" s="67"/>
      <c r="M22" s="60"/>
      <c r="N22" s="67"/>
      <c r="O22" s="60"/>
      <c r="P22" s="67"/>
      <c r="Q22" s="60"/>
      <c r="R22" s="67"/>
      <c r="S22" s="60"/>
      <c r="T22" s="67"/>
      <c r="U22" s="60"/>
      <c r="V22" s="67"/>
      <c r="W22" s="60"/>
      <c r="X22" s="65"/>
    </row>
    <row r="23" spans="1:24" ht="15.5">
      <c r="A23" s="297"/>
      <c r="B23" s="65">
        <v>18</v>
      </c>
      <c r="C23" s="60" t="s">
        <v>226</v>
      </c>
      <c r="D23" s="61" t="s">
        <v>224</v>
      </c>
      <c r="E23" s="60"/>
      <c r="F23" s="65"/>
      <c r="G23" s="60"/>
      <c r="H23" s="65"/>
      <c r="I23" s="60"/>
      <c r="J23" s="65"/>
      <c r="K23" s="60"/>
      <c r="L23" s="67"/>
      <c r="M23" s="60"/>
      <c r="N23" s="67"/>
      <c r="O23" s="72">
        <v>96</v>
      </c>
      <c r="P23" s="67"/>
      <c r="Q23" s="72">
        <v>192</v>
      </c>
      <c r="R23" s="67"/>
      <c r="S23" s="60"/>
      <c r="T23" s="67"/>
      <c r="U23" s="60"/>
      <c r="V23" s="67"/>
      <c r="W23" s="60"/>
      <c r="X23" s="65"/>
    </row>
    <row r="24" spans="1:24" ht="15.5">
      <c r="A24" s="297"/>
      <c r="B24" s="65">
        <v>19</v>
      </c>
      <c r="C24" s="60" t="s">
        <v>227</v>
      </c>
      <c r="D24" s="61" t="s">
        <v>224</v>
      </c>
      <c r="E24" s="60"/>
      <c r="F24" s="65"/>
      <c r="G24" s="68">
        <v>405</v>
      </c>
      <c r="H24" s="65"/>
      <c r="I24" s="68">
        <v>96</v>
      </c>
      <c r="J24" s="65"/>
      <c r="K24" s="68">
        <v>192</v>
      </c>
      <c r="L24" s="67"/>
      <c r="M24" s="68">
        <v>96</v>
      </c>
      <c r="N24" s="67"/>
      <c r="O24" s="60"/>
      <c r="P24" s="67"/>
      <c r="Q24" s="60"/>
      <c r="R24" s="67"/>
      <c r="S24" s="60"/>
      <c r="T24" s="67"/>
      <c r="U24" s="60"/>
      <c r="V24" s="67"/>
      <c r="W24" s="60"/>
      <c r="X24" s="65"/>
    </row>
    <row r="25" spans="1:24" ht="15.5">
      <c r="A25" s="297"/>
      <c r="B25" s="65">
        <v>20</v>
      </c>
      <c r="C25" s="60" t="s">
        <v>224</v>
      </c>
      <c r="D25" s="61" t="s">
        <v>225</v>
      </c>
      <c r="E25" s="60"/>
      <c r="F25" s="69">
        <v>450</v>
      </c>
      <c r="G25" s="60"/>
      <c r="H25" s="65"/>
      <c r="I25" s="60"/>
      <c r="J25" s="65"/>
      <c r="K25" s="60"/>
      <c r="L25" s="67"/>
      <c r="M25" s="60"/>
      <c r="N25" s="67"/>
      <c r="O25" s="60"/>
      <c r="P25" s="67"/>
      <c r="Q25" s="60"/>
      <c r="R25" s="67"/>
      <c r="S25" s="60"/>
      <c r="T25" s="67"/>
      <c r="U25" s="60"/>
      <c r="V25" s="67"/>
      <c r="W25" s="60"/>
      <c r="X25" s="65"/>
    </row>
    <row r="26" spans="1:24" ht="15.5">
      <c r="A26" s="297"/>
      <c r="B26" s="65">
        <v>21</v>
      </c>
      <c r="C26" s="60" t="s">
        <v>224</v>
      </c>
      <c r="D26" s="61" t="s">
        <v>226</v>
      </c>
      <c r="E26" s="60"/>
      <c r="F26" s="65"/>
      <c r="G26" s="60"/>
      <c r="H26" s="65"/>
      <c r="I26" s="60"/>
      <c r="J26" s="65"/>
      <c r="K26" s="60"/>
      <c r="L26" s="67"/>
      <c r="M26" s="60"/>
      <c r="N26" s="67"/>
      <c r="O26" s="60"/>
      <c r="P26" s="75">
        <v>96</v>
      </c>
      <c r="Q26" s="60"/>
      <c r="R26" s="75">
        <v>192</v>
      </c>
      <c r="S26" s="60"/>
      <c r="T26" s="67"/>
      <c r="U26" s="60"/>
      <c r="V26" s="67"/>
      <c r="W26" s="60"/>
      <c r="X26" s="65"/>
    </row>
    <row r="27" spans="1:24" ht="15.5">
      <c r="A27" s="297"/>
      <c r="B27" s="65">
        <v>22</v>
      </c>
      <c r="C27" s="60" t="s">
        <v>224</v>
      </c>
      <c r="D27" s="61" t="s">
        <v>227</v>
      </c>
      <c r="E27" s="60"/>
      <c r="F27" s="65"/>
      <c r="G27" s="60"/>
      <c r="H27" s="69">
        <v>405</v>
      </c>
      <c r="I27" s="60"/>
      <c r="J27" s="69">
        <v>96</v>
      </c>
      <c r="K27" s="60"/>
      <c r="L27" s="69">
        <v>192</v>
      </c>
      <c r="M27" s="60"/>
      <c r="N27" s="69">
        <v>96</v>
      </c>
      <c r="O27" s="60"/>
      <c r="P27" s="67"/>
      <c r="Q27" s="60"/>
      <c r="R27" s="67"/>
      <c r="S27" s="60"/>
      <c r="T27" s="67"/>
      <c r="U27" s="60"/>
      <c r="V27" s="67"/>
      <c r="W27" s="60"/>
      <c r="X27" s="65"/>
    </row>
    <row r="28" spans="1:24" ht="15.5">
      <c r="A28" s="297"/>
      <c r="B28" s="65">
        <v>23</v>
      </c>
      <c r="C28" s="60" t="s">
        <v>225</v>
      </c>
      <c r="D28" s="61" t="s">
        <v>224</v>
      </c>
      <c r="E28" s="79">
        <v>450</v>
      </c>
      <c r="F28" s="65"/>
      <c r="G28" s="60"/>
      <c r="H28" s="65"/>
      <c r="I28" s="60"/>
      <c r="J28" s="65"/>
      <c r="K28" s="60"/>
      <c r="L28" s="67"/>
      <c r="M28" s="60"/>
      <c r="N28" s="67"/>
      <c r="O28" s="60"/>
      <c r="P28" s="67"/>
      <c r="Q28" s="60"/>
      <c r="R28" s="67"/>
      <c r="S28" s="60"/>
      <c r="T28" s="67"/>
      <c r="U28" s="60"/>
      <c r="V28" s="67"/>
      <c r="W28" s="60"/>
      <c r="X28" s="65"/>
    </row>
    <row r="29" spans="1:24" ht="15.5">
      <c r="A29" s="298"/>
      <c r="B29" s="65">
        <v>24</v>
      </c>
      <c r="C29" s="60" t="s">
        <v>226</v>
      </c>
      <c r="D29" s="61" t="s">
        <v>224</v>
      </c>
      <c r="E29" s="60"/>
      <c r="F29" s="65"/>
      <c r="G29" s="60"/>
      <c r="H29" s="65"/>
      <c r="I29" s="60"/>
      <c r="J29" s="65"/>
      <c r="K29" s="60"/>
      <c r="L29" s="67"/>
      <c r="M29" s="60"/>
      <c r="N29" s="67"/>
      <c r="O29" s="68">
        <v>96</v>
      </c>
      <c r="P29" s="67"/>
      <c r="Q29" s="68">
        <v>192</v>
      </c>
      <c r="R29" s="67"/>
      <c r="S29" s="79">
        <v>405</v>
      </c>
      <c r="T29" s="69">
        <v>0</v>
      </c>
      <c r="U29" s="68">
        <v>0</v>
      </c>
      <c r="V29" s="80">
        <v>96</v>
      </c>
      <c r="W29" s="68">
        <v>0</v>
      </c>
      <c r="X29" s="69">
        <v>192</v>
      </c>
    </row>
    <row r="30" spans="1:24" ht="15.5">
      <c r="A30" s="75"/>
      <c r="B30" s="75"/>
      <c r="C30" s="75"/>
      <c r="D30" s="76"/>
      <c r="E30" s="299">
        <v>1800</v>
      </c>
      <c r="F30" s="299"/>
      <c r="G30" s="299">
        <f>405*4</f>
        <v>1620</v>
      </c>
      <c r="H30" s="299"/>
      <c r="I30" s="288">
        <v>384</v>
      </c>
      <c r="J30" s="289"/>
      <c r="K30" s="299">
        <v>768</v>
      </c>
      <c r="L30" s="299"/>
      <c r="M30" s="299">
        <f>96*4</f>
        <v>384</v>
      </c>
      <c r="N30" s="299"/>
      <c r="O30" s="288">
        <v>384</v>
      </c>
      <c r="P30" s="289"/>
      <c r="Q30" s="299">
        <v>768</v>
      </c>
      <c r="R30" s="299"/>
      <c r="S30" s="288">
        <v>405</v>
      </c>
      <c r="T30" s="289"/>
      <c r="U30" s="299">
        <v>96</v>
      </c>
      <c r="V30" s="299"/>
      <c r="W30" s="299">
        <v>192</v>
      </c>
      <c r="X30" s="299"/>
    </row>
    <row r="31" spans="1:24" ht="15.5">
      <c r="A31" s="77"/>
      <c r="B31" s="75"/>
      <c r="C31" s="288" t="s">
        <v>230</v>
      </c>
      <c r="D31" s="289"/>
      <c r="E31" s="288"/>
      <c r="F31" s="289"/>
      <c r="G31" s="288">
        <f>G30*60*0.25/1000</f>
        <v>24.3</v>
      </c>
      <c r="H31" s="289"/>
      <c r="I31" s="288">
        <f>((I30/4*3*180)+(I30/4*1*90))*1.8/1000</f>
        <v>108.864</v>
      </c>
      <c r="J31" s="289"/>
      <c r="K31" s="288">
        <f>((K30/4*3*180)+(K30/4*1*90))*1/1000</f>
        <v>120.96</v>
      </c>
      <c r="L31" s="289"/>
      <c r="M31" s="288"/>
      <c r="N31" s="289"/>
      <c r="O31" s="76"/>
      <c r="P31" s="78"/>
      <c r="Q31" s="288"/>
      <c r="R31" s="289"/>
      <c r="S31" s="76"/>
      <c r="T31" s="78"/>
      <c r="U31" s="288"/>
      <c r="V31" s="289"/>
      <c r="W31" s="288"/>
      <c r="X31" s="289"/>
    </row>
    <row r="32" spans="1:24" ht="15.5">
      <c r="A32" s="77"/>
      <c r="B32" s="75"/>
      <c r="C32" s="288" t="s">
        <v>231</v>
      </c>
      <c r="D32" s="289"/>
      <c r="E32" s="288"/>
      <c r="F32" s="289"/>
      <c r="G32" s="288">
        <v>0</v>
      </c>
      <c r="H32" s="289"/>
      <c r="I32" s="288">
        <v>0</v>
      </c>
      <c r="J32" s="289"/>
      <c r="K32" s="288">
        <f>((K30/4*3*180)+(K30/4*1*90))*5/1000</f>
        <v>604.79999999999995</v>
      </c>
      <c r="L32" s="289"/>
      <c r="M32" s="76"/>
      <c r="N32" s="78"/>
      <c r="O32" s="76"/>
      <c r="P32" s="78"/>
      <c r="Q32" s="76"/>
      <c r="R32" s="78"/>
      <c r="S32" s="76"/>
      <c r="T32" s="78"/>
      <c r="U32" s="76"/>
      <c r="V32" s="78"/>
      <c r="W32" s="76"/>
      <c r="X32" s="78"/>
    </row>
    <row r="33" spans="1:24" ht="15.5">
      <c r="A33" s="296">
        <v>3</v>
      </c>
      <c r="B33" s="65">
        <v>25</v>
      </c>
      <c r="C33" s="60" t="s">
        <v>227</v>
      </c>
      <c r="D33" s="61" t="s">
        <v>224</v>
      </c>
      <c r="E33" s="60"/>
      <c r="F33" s="65"/>
      <c r="G33" s="79">
        <v>405</v>
      </c>
      <c r="H33" s="65"/>
      <c r="I33" s="79">
        <v>96</v>
      </c>
      <c r="J33" s="65"/>
      <c r="K33" s="79">
        <v>192</v>
      </c>
      <c r="L33" s="67"/>
      <c r="M33" s="79">
        <v>96</v>
      </c>
      <c r="N33" s="67"/>
      <c r="O33" s="60"/>
      <c r="P33" s="67"/>
      <c r="Q33" s="60"/>
      <c r="R33" s="67"/>
      <c r="S33" s="60"/>
      <c r="T33" s="67"/>
      <c r="U33" s="60"/>
      <c r="V33" s="67"/>
      <c r="W33" s="60"/>
      <c r="X33" s="65"/>
    </row>
    <row r="34" spans="1:24" ht="15.5">
      <c r="A34" s="297"/>
      <c r="B34" s="65">
        <v>26</v>
      </c>
      <c r="C34" s="60" t="s">
        <v>224</v>
      </c>
      <c r="D34" s="61" t="s">
        <v>225</v>
      </c>
      <c r="E34" s="60"/>
      <c r="F34" s="81">
        <v>450</v>
      </c>
      <c r="G34" s="60"/>
      <c r="H34" s="65"/>
      <c r="I34" s="73"/>
      <c r="J34" s="65"/>
      <c r="K34" s="60"/>
      <c r="L34" s="67"/>
      <c r="M34" s="60"/>
      <c r="N34" s="67"/>
      <c r="O34" s="60"/>
      <c r="P34" s="67"/>
      <c r="Q34" s="60"/>
      <c r="R34" s="67"/>
      <c r="S34" s="60"/>
      <c r="T34" s="67"/>
      <c r="U34" s="60"/>
      <c r="V34" s="67"/>
      <c r="W34" s="60"/>
      <c r="X34" s="65"/>
    </row>
    <row r="35" spans="1:24" ht="15.5">
      <c r="A35" s="297"/>
      <c r="B35" s="65">
        <v>27</v>
      </c>
      <c r="C35" s="60" t="s">
        <v>224</v>
      </c>
      <c r="D35" s="61" t="s">
        <v>226</v>
      </c>
      <c r="E35" s="60"/>
      <c r="F35" s="65"/>
      <c r="G35" s="60"/>
      <c r="H35" s="65"/>
      <c r="I35" s="73"/>
      <c r="J35" s="65"/>
      <c r="K35" s="60"/>
      <c r="L35" s="67"/>
      <c r="M35" s="60"/>
      <c r="N35" s="67"/>
      <c r="O35" s="60"/>
      <c r="P35" s="69">
        <v>96</v>
      </c>
      <c r="Q35" s="60"/>
      <c r="R35" s="69">
        <v>192</v>
      </c>
      <c r="S35" s="60"/>
      <c r="T35" s="67"/>
      <c r="U35" s="60"/>
      <c r="V35" s="67"/>
      <c r="W35" s="60"/>
      <c r="X35" s="65"/>
    </row>
    <row r="36" spans="1:24" ht="15.5">
      <c r="A36" s="297"/>
      <c r="B36" s="65">
        <v>28</v>
      </c>
      <c r="C36" s="60" t="s">
        <v>224</v>
      </c>
      <c r="D36" s="61" t="s">
        <v>227</v>
      </c>
      <c r="E36" s="60"/>
      <c r="F36" s="65"/>
      <c r="G36" s="60"/>
      <c r="H36" s="81">
        <v>405</v>
      </c>
      <c r="I36" s="73"/>
      <c r="J36" s="81">
        <v>96</v>
      </c>
      <c r="K36" s="60"/>
      <c r="L36" s="81">
        <v>192</v>
      </c>
      <c r="M36" s="60"/>
      <c r="N36" s="81">
        <v>96</v>
      </c>
      <c r="O36" s="60"/>
      <c r="P36" s="67"/>
      <c r="Q36" s="60"/>
      <c r="R36" s="67"/>
      <c r="S36" s="60"/>
      <c r="T36" s="67"/>
      <c r="U36" s="60"/>
      <c r="V36" s="67"/>
      <c r="W36" s="60"/>
      <c r="X36" s="65"/>
    </row>
    <row r="37" spans="1:24" ht="15.5">
      <c r="A37" s="297"/>
      <c r="B37" s="65">
        <v>29</v>
      </c>
      <c r="C37" s="60" t="s">
        <v>225</v>
      </c>
      <c r="D37" s="61" t="s">
        <v>224</v>
      </c>
      <c r="E37" s="68">
        <v>450</v>
      </c>
      <c r="F37" s="65"/>
      <c r="G37" s="60"/>
      <c r="H37" s="65"/>
      <c r="I37" s="73"/>
      <c r="J37" s="65"/>
      <c r="K37" s="60"/>
      <c r="L37" s="67"/>
      <c r="M37" s="60"/>
      <c r="N37" s="67"/>
      <c r="O37" s="60"/>
      <c r="P37" s="67"/>
      <c r="Q37" s="60"/>
      <c r="R37" s="67"/>
      <c r="S37" s="60"/>
      <c r="T37" s="67"/>
      <c r="U37" s="60"/>
      <c r="V37" s="67"/>
      <c r="W37" s="60"/>
      <c r="X37" s="65"/>
    </row>
    <row r="38" spans="1:24" ht="15.5">
      <c r="A38" s="297"/>
      <c r="B38" s="65">
        <v>30</v>
      </c>
      <c r="C38" s="60" t="s">
        <v>226</v>
      </c>
      <c r="D38" s="61" t="s">
        <v>224</v>
      </c>
      <c r="E38" s="60"/>
      <c r="F38" s="65"/>
      <c r="G38" s="60"/>
      <c r="H38" s="65"/>
      <c r="I38" s="73"/>
      <c r="J38" s="65"/>
      <c r="K38" s="60"/>
      <c r="L38" s="67"/>
      <c r="M38" s="60"/>
      <c r="N38" s="67"/>
      <c r="O38" s="79">
        <v>96</v>
      </c>
      <c r="P38" s="67"/>
      <c r="Q38" s="79">
        <v>192</v>
      </c>
      <c r="R38" s="67"/>
      <c r="S38" s="60"/>
      <c r="T38" s="67"/>
      <c r="U38" s="60"/>
      <c r="V38" s="67"/>
      <c r="W38" s="60"/>
      <c r="X38" s="65"/>
    </row>
    <row r="39" spans="1:24" ht="15.5">
      <c r="A39" s="297"/>
      <c r="B39" s="65">
        <v>31</v>
      </c>
      <c r="C39" s="60" t="s">
        <v>227</v>
      </c>
      <c r="D39" s="61" t="s">
        <v>224</v>
      </c>
      <c r="E39" s="60"/>
      <c r="F39" s="65"/>
      <c r="G39" s="68">
        <v>405</v>
      </c>
      <c r="H39" s="65"/>
      <c r="I39" s="68">
        <v>96</v>
      </c>
      <c r="J39" s="65"/>
      <c r="K39" s="68">
        <v>192</v>
      </c>
      <c r="L39" s="67"/>
      <c r="M39" s="68">
        <v>96</v>
      </c>
      <c r="N39" s="67"/>
      <c r="O39" s="60"/>
      <c r="P39" s="67"/>
      <c r="Q39" s="60"/>
      <c r="R39" s="67"/>
      <c r="S39" s="60"/>
      <c r="T39" s="67"/>
      <c r="U39" s="60"/>
      <c r="V39" s="67"/>
      <c r="W39" s="60"/>
      <c r="X39" s="65"/>
    </row>
    <row r="40" spans="1:24" ht="15.5">
      <c r="A40" s="297"/>
      <c r="B40" s="65">
        <v>32</v>
      </c>
      <c r="C40" s="60" t="s">
        <v>224</v>
      </c>
      <c r="D40" s="61" t="s">
        <v>225</v>
      </c>
      <c r="E40" s="60"/>
      <c r="F40" s="82">
        <v>450</v>
      </c>
      <c r="G40" s="60"/>
      <c r="H40" s="65"/>
      <c r="I40" s="73"/>
      <c r="J40" s="65"/>
      <c r="K40" s="60"/>
      <c r="L40" s="67"/>
      <c r="M40" s="60"/>
      <c r="N40" s="67"/>
      <c r="O40" s="60"/>
      <c r="P40" s="67"/>
      <c r="Q40" s="60"/>
      <c r="R40" s="67"/>
      <c r="S40" s="60"/>
      <c r="T40" s="67"/>
      <c r="U40" s="60"/>
      <c r="V40" s="67"/>
      <c r="W40" s="60"/>
      <c r="X40" s="65"/>
    </row>
    <row r="41" spans="1:24" ht="15.5">
      <c r="A41" s="297"/>
      <c r="B41" s="65">
        <v>33</v>
      </c>
      <c r="C41" s="60" t="s">
        <v>224</v>
      </c>
      <c r="D41" s="61" t="s">
        <v>226</v>
      </c>
      <c r="E41" s="60"/>
      <c r="F41" s="65"/>
      <c r="G41" s="60"/>
      <c r="H41" s="65"/>
      <c r="I41" s="73"/>
      <c r="J41" s="65"/>
      <c r="K41" s="60"/>
      <c r="L41" s="67"/>
      <c r="M41" s="60"/>
      <c r="N41" s="67"/>
      <c r="O41" s="60"/>
      <c r="P41" s="81">
        <v>96</v>
      </c>
      <c r="Q41" s="60"/>
      <c r="R41" s="81">
        <v>192</v>
      </c>
      <c r="S41" s="60"/>
      <c r="T41" s="67"/>
      <c r="U41" s="60"/>
      <c r="V41" s="67"/>
      <c r="W41" s="60"/>
      <c r="X41" s="65"/>
    </row>
    <row r="42" spans="1:24" ht="15.5">
      <c r="A42" s="297"/>
      <c r="B42" s="65">
        <v>34</v>
      </c>
      <c r="C42" s="60" t="s">
        <v>224</v>
      </c>
      <c r="D42" s="61" t="s">
        <v>227</v>
      </c>
      <c r="E42" s="60"/>
      <c r="F42" s="65"/>
      <c r="G42" s="60"/>
      <c r="H42" s="82">
        <v>405</v>
      </c>
      <c r="I42" s="73"/>
      <c r="J42" s="82">
        <v>96</v>
      </c>
      <c r="K42" s="60"/>
      <c r="L42" s="82">
        <v>192</v>
      </c>
      <c r="M42" s="60"/>
      <c r="N42" s="82">
        <v>96</v>
      </c>
      <c r="O42" s="60"/>
      <c r="P42" s="67"/>
      <c r="Q42" s="60"/>
      <c r="R42" s="67"/>
      <c r="S42" s="60"/>
      <c r="T42" s="67"/>
      <c r="U42" s="60"/>
      <c r="V42" s="67"/>
      <c r="W42" s="60"/>
      <c r="X42" s="65"/>
    </row>
    <row r="43" spans="1:24" ht="15.5">
      <c r="A43" s="297"/>
      <c r="B43" s="65">
        <v>35</v>
      </c>
      <c r="C43" s="60" t="s">
        <v>225</v>
      </c>
      <c r="D43" s="61" t="s">
        <v>224</v>
      </c>
      <c r="E43" s="83">
        <v>450</v>
      </c>
      <c r="F43" s="65"/>
      <c r="G43" s="60"/>
      <c r="H43" s="65"/>
      <c r="I43" s="73"/>
      <c r="J43" s="65"/>
      <c r="K43" s="60"/>
      <c r="L43" s="67"/>
      <c r="M43" s="60"/>
      <c r="N43" s="67"/>
      <c r="O43" s="60"/>
      <c r="P43" s="67"/>
      <c r="Q43" s="60"/>
      <c r="R43" s="67"/>
      <c r="S43" s="60"/>
      <c r="T43" s="65"/>
      <c r="U43" s="60"/>
      <c r="V43" s="67"/>
      <c r="W43" s="60"/>
      <c r="X43" s="65"/>
    </row>
    <row r="44" spans="1:24" ht="15.5">
      <c r="A44" s="298"/>
      <c r="B44" s="65">
        <v>36</v>
      </c>
      <c r="C44" s="60" t="s">
        <v>226</v>
      </c>
      <c r="D44" s="61" t="s">
        <v>224</v>
      </c>
      <c r="E44" s="60"/>
      <c r="F44" s="65"/>
      <c r="G44" s="60"/>
      <c r="H44" s="65"/>
      <c r="I44" s="73"/>
      <c r="J44" s="65"/>
      <c r="K44" s="60"/>
      <c r="L44" s="67"/>
      <c r="M44" s="60"/>
      <c r="N44" s="67"/>
      <c r="O44" s="68">
        <v>96</v>
      </c>
      <c r="P44" s="67"/>
      <c r="Q44" s="68">
        <v>192</v>
      </c>
      <c r="R44" s="84"/>
      <c r="S44" s="83">
        <v>405</v>
      </c>
      <c r="T44" s="69">
        <v>0</v>
      </c>
      <c r="U44" s="60"/>
      <c r="V44" s="82">
        <v>96</v>
      </c>
      <c r="W44" s="60"/>
      <c r="X44" s="82">
        <v>192</v>
      </c>
    </row>
    <row r="45" spans="1:24" ht="15.5">
      <c r="A45" s="85"/>
      <c r="B45" s="75"/>
      <c r="C45" s="75"/>
      <c r="D45" s="76"/>
      <c r="E45" s="299">
        <v>1800</v>
      </c>
      <c r="F45" s="299"/>
      <c r="G45" s="299">
        <v>1620</v>
      </c>
      <c r="H45" s="299"/>
      <c r="I45" s="288">
        <v>384</v>
      </c>
      <c r="J45" s="289"/>
      <c r="K45" s="299">
        <v>768</v>
      </c>
      <c r="L45" s="299"/>
      <c r="M45" s="299">
        <v>384</v>
      </c>
      <c r="N45" s="299"/>
      <c r="O45" s="288">
        <v>384</v>
      </c>
      <c r="P45" s="289"/>
      <c r="Q45" s="299">
        <v>768</v>
      </c>
      <c r="R45" s="299"/>
      <c r="S45" s="288">
        <v>405</v>
      </c>
      <c r="T45" s="289"/>
      <c r="U45" s="299">
        <v>96</v>
      </c>
      <c r="V45" s="299"/>
      <c r="W45" s="299">
        <v>192</v>
      </c>
      <c r="X45" s="299"/>
    </row>
    <row r="46" spans="1:24" ht="15.5">
      <c r="A46" s="86"/>
      <c r="B46" s="75"/>
      <c r="C46" s="288" t="s">
        <v>230</v>
      </c>
      <c r="D46" s="289"/>
      <c r="E46" s="288"/>
      <c r="F46" s="289"/>
      <c r="G46" s="288">
        <f>G45*60*0.25/1000</f>
        <v>24.3</v>
      </c>
      <c r="H46" s="289"/>
      <c r="I46" s="288">
        <f>((I45/4*3*180)+(I45/4*1*90))*1.8/1000</f>
        <v>108.864</v>
      </c>
      <c r="J46" s="289"/>
      <c r="K46" s="288">
        <f>((K45/4*3*180)+(K45/4*1*90))*1/1000</f>
        <v>120.96</v>
      </c>
      <c r="L46" s="289"/>
      <c r="M46" s="75"/>
      <c r="N46" s="75"/>
      <c r="O46" s="76"/>
      <c r="P46" s="78"/>
      <c r="Q46" s="75"/>
      <c r="R46" s="75"/>
      <c r="S46" s="76"/>
      <c r="T46" s="78"/>
      <c r="U46" s="75"/>
      <c r="V46" s="75"/>
      <c r="W46" s="75"/>
      <c r="X46" s="75"/>
    </row>
    <row r="47" spans="1:24" ht="15.5">
      <c r="A47" s="86"/>
      <c r="B47" s="75"/>
      <c r="C47" s="288" t="s">
        <v>231</v>
      </c>
      <c r="D47" s="289"/>
      <c r="E47" s="288"/>
      <c r="F47" s="289"/>
      <c r="G47" s="288">
        <v>0</v>
      </c>
      <c r="H47" s="289"/>
      <c r="I47" s="288">
        <v>0</v>
      </c>
      <c r="J47" s="289"/>
      <c r="K47" s="288">
        <f>((K45/4*3*180)+(K45/4*1*90))*5/1000</f>
        <v>604.79999999999995</v>
      </c>
      <c r="L47" s="289"/>
      <c r="M47" s="75"/>
      <c r="N47" s="75"/>
      <c r="O47" s="76"/>
      <c r="P47" s="78"/>
      <c r="Q47" s="75"/>
      <c r="R47" s="75"/>
      <c r="S47" s="76"/>
      <c r="T47" s="78"/>
      <c r="U47" s="75"/>
      <c r="V47" s="75"/>
      <c r="W47" s="75"/>
      <c r="X47" s="75"/>
    </row>
    <row r="48" spans="1:24" ht="15.5">
      <c r="A48" s="296">
        <v>4</v>
      </c>
      <c r="B48" s="65">
        <v>37</v>
      </c>
      <c r="C48" s="60" t="s">
        <v>227</v>
      </c>
      <c r="D48" s="61" t="s">
        <v>224</v>
      </c>
      <c r="E48" s="60"/>
      <c r="F48" s="65"/>
      <c r="G48" s="83">
        <v>405</v>
      </c>
      <c r="H48" s="65"/>
      <c r="I48" s="83">
        <v>96</v>
      </c>
      <c r="J48" s="65"/>
      <c r="K48" s="83">
        <v>192</v>
      </c>
      <c r="L48" s="67"/>
      <c r="M48" s="83">
        <v>96</v>
      </c>
      <c r="N48" s="67"/>
      <c r="O48" s="60"/>
      <c r="P48" s="67"/>
      <c r="Q48" s="60"/>
      <c r="R48" s="67"/>
      <c r="S48" s="60"/>
      <c r="T48" s="67"/>
      <c r="U48" s="60"/>
      <c r="V48" s="67"/>
      <c r="W48" s="60"/>
      <c r="X48" s="65"/>
    </row>
    <row r="49" spans="1:24" ht="15.5">
      <c r="A49" s="297"/>
      <c r="B49" s="65">
        <v>38</v>
      </c>
      <c r="C49" s="60" t="s">
        <v>224</v>
      </c>
      <c r="D49" s="61" t="s">
        <v>225</v>
      </c>
      <c r="E49" s="60"/>
      <c r="F49" s="69">
        <v>450</v>
      </c>
      <c r="G49" s="60"/>
      <c r="H49" s="65"/>
      <c r="I49" s="73"/>
      <c r="J49" s="65"/>
      <c r="K49" s="60"/>
      <c r="L49" s="67"/>
      <c r="M49" s="60"/>
      <c r="N49" s="67"/>
      <c r="O49" s="60"/>
      <c r="P49" s="67"/>
      <c r="Q49" s="60"/>
      <c r="R49" s="67"/>
      <c r="S49" s="60"/>
      <c r="T49" s="67"/>
      <c r="U49" s="60"/>
      <c r="V49" s="67"/>
      <c r="W49" s="60"/>
      <c r="X49" s="65"/>
    </row>
    <row r="50" spans="1:24" ht="15.5">
      <c r="A50" s="297"/>
      <c r="B50" s="65">
        <v>39</v>
      </c>
      <c r="C50" s="60" t="s">
        <v>224</v>
      </c>
      <c r="D50" s="61" t="s">
        <v>226</v>
      </c>
      <c r="E50" s="60"/>
      <c r="F50" s="65"/>
      <c r="G50" s="60"/>
      <c r="H50" s="65"/>
      <c r="I50" s="73"/>
      <c r="J50" s="65"/>
      <c r="K50" s="60"/>
      <c r="L50" s="67"/>
      <c r="M50" s="60"/>
      <c r="N50" s="67"/>
      <c r="O50" s="60"/>
      <c r="P50" s="82">
        <v>96</v>
      </c>
      <c r="Q50" s="60"/>
      <c r="R50" s="82">
        <v>192</v>
      </c>
      <c r="S50" s="60"/>
      <c r="T50" s="67"/>
      <c r="U50" s="60"/>
      <c r="V50" s="67"/>
      <c r="W50" s="60"/>
      <c r="X50" s="65"/>
    </row>
    <row r="51" spans="1:24" ht="15.5">
      <c r="A51" s="297"/>
      <c r="B51" s="65">
        <v>40</v>
      </c>
      <c r="C51" s="60" t="s">
        <v>224</v>
      </c>
      <c r="D51" s="61" t="s">
        <v>227</v>
      </c>
      <c r="E51" s="60"/>
      <c r="F51" s="65"/>
      <c r="G51" s="60"/>
      <c r="H51" s="69">
        <v>405</v>
      </c>
      <c r="I51" s="73"/>
      <c r="J51" s="69">
        <v>96</v>
      </c>
      <c r="K51" s="60"/>
      <c r="L51" s="69">
        <v>192</v>
      </c>
      <c r="M51" s="60"/>
      <c r="N51" s="69">
        <v>96</v>
      </c>
      <c r="O51" s="60"/>
      <c r="P51" s="67"/>
      <c r="Q51" s="60"/>
      <c r="R51" s="67"/>
      <c r="S51" s="60"/>
      <c r="T51" s="67"/>
      <c r="U51" s="60"/>
      <c r="V51" s="67"/>
      <c r="W51" s="60"/>
      <c r="X51" s="65"/>
    </row>
    <row r="52" spans="1:24" ht="15.5">
      <c r="A52" s="297"/>
      <c r="B52" s="65">
        <v>41</v>
      </c>
      <c r="C52" s="60" t="s">
        <v>225</v>
      </c>
      <c r="D52" s="61" t="s">
        <v>224</v>
      </c>
      <c r="E52" s="68">
        <v>450</v>
      </c>
      <c r="F52" s="65"/>
      <c r="G52" s="60"/>
      <c r="H52" s="65"/>
      <c r="I52" s="73"/>
      <c r="J52" s="65"/>
      <c r="K52" s="60"/>
      <c r="L52" s="67"/>
      <c r="M52" s="60"/>
      <c r="N52" s="67"/>
      <c r="O52" s="60"/>
      <c r="P52" s="67"/>
      <c r="Q52" s="60"/>
      <c r="R52" s="67"/>
      <c r="S52" s="60"/>
      <c r="T52" s="67"/>
      <c r="U52" s="60"/>
      <c r="V52" s="67"/>
      <c r="W52" s="60"/>
      <c r="X52" s="65"/>
    </row>
    <row r="53" spans="1:24" ht="15.5">
      <c r="A53" s="297"/>
      <c r="B53" s="65">
        <v>42</v>
      </c>
      <c r="C53" s="60" t="s">
        <v>226</v>
      </c>
      <c r="D53" s="61" t="s">
        <v>224</v>
      </c>
      <c r="E53" s="60"/>
      <c r="F53" s="65"/>
      <c r="G53" s="60"/>
      <c r="H53" s="65"/>
      <c r="I53" s="73"/>
      <c r="J53" s="65"/>
      <c r="K53" s="60"/>
      <c r="L53" s="67"/>
      <c r="M53" s="60"/>
      <c r="N53" s="67"/>
      <c r="O53" s="83">
        <v>96</v>
      </c>
      <c r="P53" s="67"/>
      <c r="Q53" s="83">
        <v>192</v>
      </c>
      <c r="R53" s="67"/>
      <c r="S53" s="60"/>
      <c r="T53" s="67"/>
      <c r="U53" s="60"/>
      <c r="V53" s="67"/>
      <c r="W53" s="60"/>
      <c r="X53" s="65"/>
    </row>
    <row r="54" spans="1:24" ht="15.5">
      <c r="A54" s="297"/>
      <c r="B54" s="65">
        <v>43</v>
      </c>
      <c r="C54" s="60" t="s">
        <v>227</v>
      </c>
      <c r="D54" s="61" t="s">
        <v>224</v>
      </c>
      <c r="E54" s="60"/>
      <c r="F54" s="65"/>
      <c r="G54" s="68">
        <v>405</v>
      </c>
      <c r="H54" s="65"/>
      <c r="I54" s="68">
        <v>96</v>
      </c>
      <c r="J54" s="65"/>
      <c r="K54" s="68">
        <v>192</v>
      </c>
      <c r="L54" s="67"/>
      <c r="M54" s="68">
        <v>96</v>
      </c>
      <c r="N54" s="67"/>
      <c r="O54" s="60"/>
      <c r="P54" s="67"/>
      <c r="Q54" s="60"/>
      <c r="R54" s="67"/>
      <c r="S54" s="60"/>
      <c r="T54" s="67"/>
      <c r="U54" s="60"/>
      <c r="V54" s="67"/>
      <c r="W54" s="60"/>
      <c r="X54" s="65"/>
    </row>
    <row r="55" spans="1:24" ht="15.5">
      <c r="A55" s="297"/>
      <c r="B55" s="65">
        <v>44</v>
      </c>
      <c r="C55" s="60" t="s">
        <v>224</v>
      </c>
      <c r="D55" s="61" t="s">
        <v>225</v>
      </c>
      <c r="E55" s="60"/>
      <c r="F55" s="87">
        <v>450</v>
      </c>
      <c r="G55" s="60"/>
      <c r="H55" s="65"/>
      <c r="I55" s="73"/>
      <c r="J55" s="65"/>
      <c r="K55" s="60"/>
      <c r="L55" s="67"/>
      <c r="M55" s="60"/>
      <c r="N55" s="67"/>
      <c r="O55" s="60"/>
      <c r="P55" s="67"/>
      <c r="Q55" s="60"/>
      <c r="R55" s="67"/>
      <c r="S55" s="60"/>
      <c r="T55" s="67"/>
      <c r="U55" s="60"/>
      <c r="V55" s="67"/>
      <c r="W55" s="60"/>
      <c r="X55" s="65"/>
    </row>
    <row r="56" spans="1:24" ht="15.5">
      <c r="A56" s="297"/>
      <c r="B56" s="65">
        <v>45</v>
      </c>
      <c r="C56" s="60" t="s">
        <v>224</v>
      </c>
      <c r="D56" s="61" t="s">
        <v>226</v>
      </c>
      <c r="E56" s="60"/>
      <c r="F56" s="65"/>
      <c r="G56" s="60"/>
      <c r="H56" s="65"/>
      <c r="I56" s="73"/>
      <c r="J56" s="65"/>
      <c r="K56" s="60"/>
      <c r="L56" s="67"/>
      <c r="M56" s="60"/>
      <c r="N56" s="67"/>
      <c r="O56" s="60"/>
      <c r="P56" s="69">
        <v>96</v>
      </c>
      <c r="Q56" s="60"/>
      <c r="R56" s="69">
        <v>192</v>
      </c>
      <c r="S56" s="60"/>
      <c r="T56" s="67"/>
      <c r="U56" s="60"/>
      <c r="V56" s="67"/>
      <c r="W56" s="60"/>
      <c r="X56" s="65"/>
    </row>
    <row r="57" spans="1:24" ht="15.5">
      <c r="A57" s="297"/>
      <c r="B57" s="65">
        <v>46</v>
      </c>
      <c r="C57" s="60" t="s">
        <v>224</v>
      </c>
      <c r="D57" s="61" t="s">
        <v>227</v>
      </c>
      <c r="E57" s="60"/>
      <c r="F57" s="65"/>
      <c r="G57" s="60"/>
      <c r="H57" s="87">
        <v>405</v>
      </c>
      <c r="I57" s="73"/>
      <c r="J57" s="87">
        <v>96</v>
      </c>
      <c r="K57" s="60"/>
      <c r="L57" s="87">
        <v>192</v>
      </c>
      <c r="M57" s="60"/>
      <c r="N57" s="87">
        <v>96</v>
      </c>
      <c r="O57" s="60"/>
      <c r="P57" s="67"/>
      <c r="Q57" s="60"/>
      <c r="R57" s="67"/>
      <c r="S57" s="60"/>
      <c r="T57" s="67"/>
      <c r="U57" s="60"/>
      <c r="V57" s="67"/>
      <c r="W57" s="60"/>
      <c r="X57" s="65"/>
    </row>
    <row r="58" spans="1:24" ht="15.5">
      <c r="A58" s="297"/>
      <c r="B58" s="65">
        <v>47</v>
      </c>
      <c r="C58" s="60" t="s">
        <v>225</v>
      </c>
      <c r="D58" s="61" t="s">
        <v>224</v>
      </c>
      <c r="E58" s="88">
        <v>450</v>
      </c>
      <c r="F58" s="65"/>
      <c r="G58" s="60"/>
      <c r="H58" s="65"/>
      <c r="I58" s="73"/>
      <c r="J58" s="65"/>
      <c r="K58" s="60"/>
      <c r="L58" s="67"/>
      <c r="M58" s="60"/>
      <c r="N58" s="67"/>
      <c r="O58" s="60"/>
      <c r="P58" s="67"/>
      <c r="Q58" s="60"/>
      <c r="R58" s="67"/>
      <c r="S58" s="60"/>
      <c r="T58" s="67"/>
      <c r="U58" s="60"/>
      <c r="V58" s="67"/>
      <c r="W58" s="60"/>
      <c r="X58" s="65"/>
    </row>
    <row r="59" spans="1:24" ht="15.5">
      <c r="A59" s="298"/>
      <c r="B59" s="65">
        <v>48</v>
      </c>
      <c r="C59" s="60" t="s">
        <v>226</v>
      </c>
      <c r="D59" s="61" t="s">
        <v>224</v>
      </c>
      <c r="E59" s="60"/>
      <c r="F59" s="65"/>
      <c r="G59" s="60"/>
      <c r="H59" s="65"/>
      <c r="I59" s="73"/>
      <c r="J59" s="65"/>
      <c r="K59" s="60"/>
      <c r="L59" s="67"/>
      <c r="M59" s="60"/>
      <c r="N59" s="67"/>
      <c r="O59" s="68">
        <v>96</v>
      </c>
      <c r="P59" s="67"/>
      <c r="Q59" s="68">
        <v>192</v>
      </c>
      <c r="R59" s="67"/>
      <c r="S59" s="88">
        <v>405</v>
      </c>
      <c r="T59" s="69">
        <v>0</v>
      </c>
      <c r="U59" s="68">
        <v>0</v>
      </c>
      <c r="V59" s="87">
        <v>96</v>
      </c>
      <c r="W59" s="68">
        <v>0</v>
      </c>
      <c r="X59" s="87">
        <v>192</v>
      </c>
    </row>
    <row r="60" spans="1:24" ht="15.5">
      <c r="A60" s="85"/>
      <c r="B60" s="75"/>
      <c r="C60" s="75"/>
      <c r="D60" s="76"/>
      <c r="E60" s="288">
        <v>1800</v>
      </c>
      <c r="F60" s="289"/>
      <c r="G60" s="288">
        <v>1620</v>
      </c>
      <c r="H60" s="289"/>
      <c r="I60" s="89">
        <v>384</v>
      </c>
      <c r="J60" s="89"/>
      <c r="K60" s="288">
        <v>768</v>
      </c>
      <c r="L60" s="289"/>
      <c r="M60" s="288">
        <v>384</v>
      </c>
      <c r="N60" s="289"/>
      <c r="O60" s="288">
        <v>384</v>
      </c>
      <c r="P60" s="289"/>
      <c r="Q60" s="288">
        <v>768</v>
      </c>
      <c r="R60" s="289"/>
      <c r="S60" s="288">
        <v>405</v>
      </c>
      <c r="T60" s="289"/>
      <c r="U60" s="288">
        <v>96</v>
      </c>
      <c r="V60" s="289"/>
      <c r="W60" s="288">
        <v>192</v>
      </c>
      <c r="X60" s="289"/>
    </row>
    <row r="61" spans="1:24" ht="15.5">
      <c r="A61" s="86"/>
      <c r="B61" s="75"/>
      <c r="C61" s="288" t="s">
        <v>230</v>
      </c>
      <c r="D61" s="289"/>
      <c r="E61" s="288"/>
      <c r="F61" s="289"/>
      <c r="G61" s="288">
        <f>G60*60*0.25/1000</f>
        <v>24.3</v>
      </c>
      <c r="H61" s="289"/>
      <c r="I61" s="288">
        <f>((I60/4*3*180)+(I60/4*1*90))*1.8/1000</f>
        <v>108.864</v>
      </c>
      <c r="J61" s="289"/>
      <c r="K61" s="288">
        <f>((K60/4*3*180)+(K60/4*1*90))*1/1000</f>
        <v>120.96</v>
      </c>
      <c r="L61" s="289"/>
      <c r="M61" s="76"/>
      <c r="N61" s="78"/>
      <c r="O61" s="76"/>
      <c r="P61" s="78"/>
      <c r="Q61" s="76"/>
      <c r="R61" s="78"/>
      <c r="S61" s="76"/>
      <c r="T61" s="78"/>
      <c r="U61" s="76"/>
      <c r="V61" s="78"/>
      <c r="W61" s="76"/>
      <c r="X61" s="78"/>
    </row>
    <row r="62" spans="1:24" ht="15.5">
      <c r="A62" s="86"/>
      <c r="B62" s="75"/>
      <c r="C62" s="288" t="s">
        <v>231</v>
      </c>
      <c r="D62" s="289"/>
      <c r="E62" s="288"/>
      <c r="F62" s="289"/>
      <c r="G62" s="288">
        <v>0</v>
      </c>
      <c r="H62" s="289"/>
      <c r="I62" s="288">
        <v>0</v>
      </c>
      <c r="J62" s="289"/>
      <c r="K62" s="288">
        <f>((K60/4*3*180)+(K60/4*1*90))*5/1000</f>
        <v>604.79999999999995</v>
      </c>
      <c r="L62" s="289"/>
      <c r="M62" s="76"/>
      <c r="N62" s="78"/>
      <c r="O62" s="76"/>
      <c r="P62" s="78"/>
      <c r="Q62" s="76"/>
      <c r="R62" s="78"/>
      <c r="S62" s="76"/>
      <c r="T62" s="78"/>
      <c r="U62" s="76"/>
      <c r="V62" s="78"/>
      <c r="W62" s="76"/>
      <c r="X62" s="78"/>
    </row>
    <row r="63" spans="1:24" ht="15.5">
      <c r="A63" s="296">
        <v>5</v>
      </c>
      <c r="B63" s="65">
        <v>49</v>
      </c>
      <c r="C63" s="60" t="s">
        <v>227</v>
      </c>
      <c r="D63" s="61" t="s">
        <v>224</v>
      </c>
      <c r="E63" s="60"/>
      <c r="F63" s="65"/>
      <c r="G63" s="88">
        <v>405</v>
      </c>
      <c r="H63" s="65"/>
      <c r="I63" s="88">
        <v>96</v>
      </c>
      <c r="J63" s="65"/>
      <c r="K63" s="88">
        <v>192</v>
      </c>
      <c r="L63" s="67"/>
      <c r="M63" s="88">
        <v>96</v>
      </c>
      <c r="N63" s="67"/>
      <c r="O63" s="60"/>
      <c r="P63" s="67"/>
      <c r="Q63" s="60"/>
      <c r="R63" s="67"/>
      <c r="S63" s="60"/>
      <c r="T63" s="67"/>
      <c r="U63" s="60"/>
      <c r="V63" s="67"/>
      <c r="W63" s="60"/>
      <c r="X63" s="65"/>
    </row>
    <row r="64" spans="1:24" ht="15.5">
      <c r="A64" s="297"/>
      <c r="B64" s="65">
        <v>50</v>
      </c>
      <c r="C64" s="60" t="s">
        <v>224</v>
      </c>
      <c r="D64" s="61" t="s">
        <v>225</v>
      </c>
      <c r="E64" s="60"/>
      <c r="F64" s="69">
        <v>450</v>
      </c>
      <c r="G64" s="60"/>
      <c r="H64" s="65"/>
      <c r="I64" s="73"/>
      <c r="J64" s="65"/>
      <c r="K64" s="60"/>
      <c r="L64" s="67"/>
      <c r="M64" s="60"/>
      <c r="N64" s="67"/>
      <c r="O64" s="60"/>
      <c r="P64" s="67"/>
      <c r="Q64" s="60"/>
      <c r="R64" s="67"/>
      <c r="S64" s="60"/>
      <c r="T64" s="67"/>
      <c r="U64" s="60"/>
      <c r="V64" s="67"/>
      <c r="W64" s="60"/>
      <c r="X64" s="65"/>
    </row>
    <row r="65" spans="1:24" ht="15.5">
      <c r="A65" s="297"/>
      <c r="B65" s="65">
        <v>51</v>
      </c>
      <c r="C65" s="60" t="s">
        <v>224</v>
      </c>
      <c r="D65" s="61" t="s">
        <v>226</v>
      </c>
      <c r="E65" s="60"/>
      <c r="F65" s="65"/>
      <c r="G65" s="60"/>
      <c r="H65" s="65"/>
      <c r="I65" s="73"/>
      <c r="J65" s="65"/>
      <c r="K65" s="60"/>
      <c r="L65" s="67"/>
      <c r="M65" s="60"/>
      <c r="N65" s="67"/>
      <c r="O65" s="60"/>
      <c r="P65" s="87">
        <v>96</v>
      </c>
      <c r="Q65" s="60"/>
      <c r="R65" s="87">
        <v>192</v>
      </c>
      <c r="S65" s="60"/>
      <c r="T65" s="67"/>
      <c r="U65" s="60"/>
      <c r="V65" s="67"/>
      <c r="W65" s="60"/>
      <c r="X65" s="65"/>
    </row>
    <row r="66" spans="1:24" ht="15.5">
      <c r="A66" s="297"/>
      <c r="B66" s="65">
        <v>52</v>
      </c>
      <c r="C66" s="60" t="s">
        <v>224</v>
      </c>
      <c r="D66" s="61" t="s">
        <v>227</v>
      </c>
      <c r="E66" s="60"/>
      <c r="F66" s="65"/>
      <c r="G66" s="60"/>
      <c r="H66" s="69">
        <v>405</v>
      </c>
      <c r="I66" s="73"/>
      <c r="J66" s="69">
        <v>96</v>
      </c>
      <c r="K66" s="60"/>
      <c r="L66" s="69">
        <v>192</v>
      </c>
      <c r="M66" s="60"/>
      <c r="N66" s="69">
        <v>96</v>
      </c>
      <c r="O66" s="60"/>
      <c r="P66" s="67"/>
      <c r="Q66" s="60"/>
      <c r="R66" s="67"/>
      <c r="S66" s="60"/>
      <c r="T66" s="67"/>
      <c r="U66" s="60"/>
      <c r="V66" s="67"/>
      <c r="W66" s="60"/>
      <c r="X66" s="65"/>
    </row>
    <row r="67" spans="1:24" ht="15.5">
      <c r="A67" s="297"/>
      <c r="B67" s="65">
        <v>53</v>
      </c>
      <c r="C67" s="60" t="s">
        <v>225</v>
      </c>
      <c r="D67" s="61" t="s">
        <v>224</v>
      </c>
      <c r="E67" s="68">
        <v>450</v>
      </c>
      <c r="F67" s="65"/>
      <c r="G67" s="60"/>
      <c r="H67" s="65"/>
      <c r="I67" s="73"/>
      <c r="J67" s="65"/>
      <c r="K67" s="60"/>
      <c r="L67" s="67"/>
      <c r="M67" s="60"/>
      <c r="N67" s="67"/>
      <c r="O67" s="60"/>
      <c r="P67" s="67"/>
      <c r="Q67" s="60"/>
      <c r="R67" s="67"/>
      <c r="S67" s="60"/>
      <c r="T67" s="67"/>
      <c r="U67" s="60"/>
      <c r="V67" s="67"/>
      <c r="W67" s="60"/>
      <c r="X67" s="65"/>
    </row>
    <row r="68" spans="1:24" ht="15.5">
      <c r="A68" s="297"/>
      <c r="B68" s="65">
        <v>54</v>
      </c>
      <c r="C68" s="60" t="s">
        <v>226</v>
      </c>
      <c r="D68" s="61" t="s">
        <v>224</v>
      </c>
      <c r="E68" s="60"/>
      <c r="F68" s="65"/>
      <c r="G68" s="60"/>
      <c r="H68" s="65"/>
      <c r="I68" s="73"/>
      <c r="J68" s="65"/>
      <c r="K68" s="60"/>
      <c r="L68" s="67"/>
      <c r="M68" s="60"/>
      <c r="N68" s="67"/>
      <c r="O68" s="88">
        <v>96</v>
      </c>
      <c r="P68" s="67"/>
      <c r="Q68" s="88">
        <v>192</v>
      </c>
      <c r="R68" s="67"/>
      <c r="S68" s="60"/>
      <c r="T68" s="67"/>
      <c r="U68" s="60"/>
      <c r="V68" s="67"/>
      <c r="W68" s="60"/>
      <c r="X68" s="65"/>
    </row>
    <row r="69" spans="1:24" ht="15.5">
      <c r="A69" s="297"/>
      <c r="B69" s="65">
        <v>55</v>
      </c>
      <c r="C69" s="60" t="s">
        <v>227</v>
      </c>
      <c r="D69" s="61" t="s">
        <v>224</v>
      </c>
      <c r="E69" s="60"/>
      <c r="F69" s="65"/>
      <c r="G69" s="68">
        <v>405</v>
      </c>
      <c r="H69" s="65"/>
      <c r="I69" s="68">
        <v>96</v>
      </c>
      <c r="J69" s="65"/>
      <c r="K69" s="68">
        <v>192</v>
      </c>
      <c r="L69" s="67"/>
      <c r="M69" s="68">
        <v>96</v>
      </c>
      <c r="N69" s="67"/>
      <c r="O69" s="60"/>
      <c r="P69" s="67"/>
      <c r="Q69" s="60"/>
      <c r="R69" s="67"/>
      <c r="S69" s="60"/>
      <c r="T69" s="67"/>
      <c r="U69" s="60"/>
      <c r="V69" s="67"/>
      <c r="W69" s="60"/>
      <c r="X69" s="65"/>
    </row>
    <row r="70" spans="1:24" ht="15.5">
      <c r="A70" s="297"/>
      <c r="B70" s="65">
        <v>56</v>
      </c>
      <c r="C70" s="60" t="s">
        <v>224</v>
      </c>
      <c r="D70" s="61" t="s">
        <v>225</v>
      </c>
      <c r="E70" s="60"/>
      <c r="F70" s="82">
        <v>450</v>
      </c>
      <c r="G70" s="60"/>
      <c r="H70" s="65"/>
      <c r="I70" s="73"/>
      <c r="J70" s="65"/>
      <c r="K70" s="60"/>
      <c r="L70" s="67"/>
      <c r="M70" s="60"/>
      <c r="N70" s="67"/>
      <c r="O70" s="60"/>
      <c r="P70" s="67"/>
      <c r="Q70" s="60"/>
      <c r="R70" s="67"/>
      <c r="S70" s="60"/>
      <c r="T70" s="67"/>
      <c r="U70" s="60"/>
      <c r="V70" s="67"/>
      <c r="W70" s="60"/>
      <c r="X70" s="65"/>
    </row>
    <row r="71" spans="1:24" ht="15.5">
      <c r="A71" s="297"/>
      <c r="B71" s="65">
        <v>57</v>
      </c>
      <c r="C71" s="60" t="s">
        <v>224</v>
      </c>
      <c r="D71" s="61" t="s">
        <v>226</v>
      </c>
      <c r="E71" s="60"/>
      <c r="F71" s="65"/>
      <c r="G71" s="60"/>
      <c r="H71" s="65"/>
      <c r="I71" s="73"/>
      <c r="J71" s="65"/>
      <c r="K71" s="60"/>
      <c r="L71" s="67"/>
      <c r="M71" s="60"/>
      <c r="N71" s="67"/>
      <c r="O71" s="60"/>
      <c r="P71" s="69">
        <v>96</v>
      </c>
      <c r="Q71" s="60"/>
      <c r="R71" s="69">
        <v>192</v>
      </c>
      <c r="S71" s="60"/>
      <c r="T71" s="67"/>
      <c r="U71" s="60"/>
      <c r="V71" s="67"/>
      <c r="W71" s="60"/>
      <c r="X71" s="65"/>
    </row>
    <row r="72" spans="1:24" ht="15.5">
      <c r="A72" s="297"/>
      <c r="B72" s="65">
        <v>58</v>
      </c>
      <c r="C72" s="60" t="s">
        <v>224</v>
      </c>
      <c r="D72" s="61" t="s">
        <v>227</v>
      </c>
      <c r="E72" s="60"/>
      <c r="F72" s="65"/>
      <c r="G72" s="60"/>
      <c r="H72" s="82">
        <v>405</v>
      </c>
      <c r="I72" s="73"/>
      <c r="J72" s="82">
        <v>96</v>
      </c>
      <c r="K72" s="60"/>
      <c r="L72" s="82">
        <v>192</v>
      </c>
      <c r="M72" s="60"/>
      <c r="N72" s="82">
        <v>96</v>
      </c>
      <c r="O72" s="60"/>
      <c r="P72" s="67"/>
      <c r="Q72" s="60"/>
      <c r="R72" s="67"/>
      <c r="S72" s="60"/>
      <c r="T72" s="67"/>
      <c r="U72" s="60"/>
      <c r="V72" s="67"/>
      <c r="W72" s="60"/>
      <c r="X72" s="65"/>
    </row>
    <row r="73" spans="1:24" ht="15.5">
      <c r="A73" s="297"/>
      <c r="B73" s="65">
        <v>59</v>
      </c>
      <c r="C73" s="60" t="s">
        <v>225</v>
      </c>
      <c r="D73" s="61" t="s">
        <v>224</v>
      </c>
      <c r="E73" s="90">
        <v>450</v>
      </c>
      <c r="F73" s="65"/>
      <c r="G73" s="60"/>
      <c r="H73" s="65"/>
      <c r="I73" s="73"/>
      <c r="J73" s="65"/>
      <c r="K73" s="60"/>
      <c r="L73" s="67"/>
      <c r="M73" s="60"/>
      <c r="N73" s="67"/>
      <c r="O73" s="60"/>
      <c r="P73" s="67"/>
      <c r="Q73" s="60"/>
      <c r="R73" s="67"/>
      <c r="S73" s="60"/>
      <c r="T73" s="67"/>
      <c r="U73" s="60"/>
      <c r="V73" s="67"/>
      <c r="W73" s="60"/>
      <c r="X73" s="65"/>
    </row>
    <row r="74" spans="1:24" ht="15.5">
      <c r="A74" s="298"/>
      <c r="B74" s="65">
        <v>60</v>
      </c>
      <c r="C74" s="60" t="s">
        <v>226</v>
      </c>
      <c r="D74" s="65" t="s">
        <v>224</v>
      </c>
      <c r="E74" s="60"/>
      <c r="F74" s="65"/>
      <c r="G74" s="60"/>
      <c r="H74" s="65"/>
      <c r="I74" s="73"/>
      <c r="J74" s="65"/>
      <c r="K74" s="60"/>
      <c r="L74" s="67"/>
      <c r="M74" s="60"/>
      <c r="N74" s="67"/>
      <c r="O74" s="68">
        <v>96</v>
      </c>
      <c r="P74" s="67"/>
      <c r="Q74" s="68">
        <v>192</v>
      </c>
      <c r="R74" s="67"/>
      <c r="S74" s="90">
        <v>405</v>
      </c>
      <c r="T74" s="69">
        <v>0</v>
      </c>
      <c r="U74" s="68">
        <v>0</v>
      </c>
      <c r="V74" s="82">
        <v>96</v>
      </c>
      <c r="W74" s="68">
        <v>0</v>
      </c>
      <c r="X74" s="82">
        <v>192</v>
      </c>
    </row>
    <row r="75" spans="1:24" ht="15.5">
      <c r="A75" s="85"/>
      <c r="B75" s="75"/>
      <c r="C75" s="75"/>
      <c r="D75" s="76"/>
      <c r="E75" s="288">
        <v>1800</v>
      </c>
      <c r="F75" s="289"/>
      <c r="G75" s="288">
        <v>1620</v>
      </c>
      <c r="H75" s="289"/>
      <c r="I75" s="288">
        <v>384</v>
      </c>
      <c r="J75" s="289"/>
      <c r="K75" s="288">
        <v>768</v>
      </c>
      <c r="L75" s="289"/>
      <c r="M75" s="288">
        <v>384</v>
      </c>
      <c r="N75" s="289"/>
      <c r="O75" s="288">
        <v>384</v>
      </c>
      <c r="P75" s="289"/>
      <c r="Q75" s="288">
        <v>768</v>
      </c>
      <c r="R75" s="289"/>
      <c r="S75" s="288">
        <v>405</v>
      </c>
      <c r="T75" s="289"/>
      <c r="U75" s="288">
        <v>96</v>
      </c>
      <c r="V75" s="289"/>
      <c r="W75" s="288">
        <v>192</v>
      </c>
      <c r="X75" s="289"/>
    </row>
    <row r="76" spans="1:24" ht="15.5">
      <c r="A76" s="86"/>
      <c r="B76" s="75"/>
      <c r="C76" s="288" t="s">
        <v>230</v>
      </c>
      <c r="D76" s="289"/>
      <c r="E76" s="288"/>
      <c r="F76" s="289"/>
      <c r="G76" s="288">
        <f>G75*60*0.25/1000</f>
        <v>24.3</v>
      </c>
      <c r="H76" s="289"/>
      <c r="I76" s="288">
        <f>((I75/4*3*180)+(I75/4*1*90))*1.8/1000</f>
        <v>108.864</v>
      </c>
      <c r="J76" s="289"/>
      <c r="K76" s="288">
        <f>((K75/4*3*180)+(K75/4*1*90))*1/1000</f>
        <v>120.96</v>
      </c>
      <c r="L76" s="289"/>
      <c r="M76" s="76"/>
      <c r="N76" s="78"/>
      <c r="O76" s="76"/>
      <c r="P76" s="78"/>
      <c r="Q76" s="76"/>
      <c r="R76" s="78"/>
      <c r="S76" s="76"/>
      <c r="T76" s="78"/>
      <c r="U76" s="76"/>
      <c r="V76" s="78"/>
      <c r="W76" s="76"/>
      <c r="X76" s="78"/>
    </row>
    <row r="77" spans="1:24" ht="15.5">
      <c r="A77" s="86"/>
      <c r="B77" s="75"/>
      <c r="C77" s="288" t="s">
        <v>231</v>
      </c>
      <c r="D77" s="289"/>
      <c r="E77" s="288"/>
      <c r="F77" s="289"/>
      <c r="G77" s="288">
        <v>0</v>
      </c>
      <c r="H77" s="289"/>
      <c r="I77" s="288">
        <v>0</v>
      </c>
      <c r="J77" s="289"/>
      <c r="K77" s="288">
        <f>((K75/4*3*180)+(K75/4*1*90))*5/1000</f>
        <v>604.79999999999995</v>
      </c>
      <c r="L77" s="289"/>
      <c r="M77" s="76"/>
      <c r="N77" s="78"/>
      <c r="O77" s="76"/>
      <c r="P77" s="78"/>
      <c r="Q77" s="76"/>
      <c r="R77" s="78"/>
      <c r="S77" s="76"/>
      <c r="T77" s="78"/>
      <c r="U77" s="76"/>
      <c r="V77" s="78"/>
      <c r="W77" s="76"/>
      <c r="X77" s="78"/>
    </row>
    <row r="78" spans="1:24" ht="15.5">
      <c r="A78" s="296">
        <v>6</v>
      </c>
      <c r="B78" s="65">
        <v>61</v>
      </c>
      <c r="C78" s="60" t="s">
        <v>227</v>
      </c>
      <c r="D78" s="61" t="s">
        <v>224</v>
      </c>
      <c r="E78" s="60"/>
      <c r="F78" s="65"/>
      <c r="G78" s="90">
        <v>405</v>
      </c>
      <c r="H78" s="65"/>
      <c r="I78" s="90">
        <v>96</v>
      </c>
      <c r="J78" s="65"/>
      <c r="K78" s="90">
        <v>192</v>
      </c>
      <c r="L78" s="67"/>
      <c r="M78" s="90">
        <v>96</v>
      </c>
      <c r="N78" s="67"/>
      <c r="O78" s="60"/>
      <c r="P78" s="67"/>
      <c r="Q78" s="60"/>
      <c r="R78" s="67"/>
      <c r="S78" s="60"/>
      <c r="T78" s="67"/>
      <c r="U78" s="60"/>
      <c r="V78" s="67"/>
      <c r="W78" s="60"/>
      <c r="X78" s="65"/>
    </row>
    <row r="79" spans="1:24" ht="15.5">
      <c r="A79" s="297"/>
      <c r="B79" s="65">
        <v>62</v>
      </c>
      <c r="C79" s="60" t="s">
        <v>224</v>
      </c>
      <c r="D79" s="61" t="s">
        <v>224</v>
      </c>
      <c r="E79" s="60"/>
      <c r="F79" s="69">
        <v>450</v>
      </c>
      <c r="G79" s="60"/>
      <c r="H79" s="65"/>
      <c r="I79" s="73"/>
      <c r="J79" s="65"/>
      <c r="K79" s="60"/>
      <c r="L79" s="67"/>
      <c r="M79" s="60"/>
      <c r="N79" s="67"/>
      <c r="O79" s="60"/>
      <c r="P79" s="67"/>
      <c r="Q79" s="60"/>
      <c r="R79" s="67"/>
      <c r="S79" s="60"/>
      <c r="T79" s="67"/>
      <c r="U79" s="60"/>
      <c r="V79" s="67"/>
      <c r="W79" s="60"/>
      <c r="X79" s="65"/>
    </row>
    <row r="80" spans="1:24" ht="15.5">
      <c r="A80" s="297"/>
      <c r="B80" s="65">
        <v>63</v>
      </c>
      <c r="C80" s="60" t="s">
        <v>224</v>
      </c>
      <c r="D80" s="61" t="s">
        <v>225</v>
      </c>
      <c r="E80" s="60"/>
      <c r="F80" s="65"/>
      <c r="G80" s="60"/>
      <c r="H80" s="65"/>
      <c r="I80" s="73"/>
      <c r="J80" s="65"/>
      <c r="K80" s="60"/>
      <c r="L80" s="67"/>
      <c r="M80" s="60"/>
      <c r="N80" s="67"/>
      <c r="O80" s="60"/>
      <c r="P80" s="69">
        <v>96</v>
      </c>
      <c r="Q80" s="60"/>
      <c r="R80" s="69">
        <v>192</v>
      </c>
      <c r="S80" s="60"/>
      <c r="T80" s="67"/>
      <c r="U80" s="60"/>
      <c r="V80" s="67"/>
      <c r="W80" s="60"/>
      <c r="X80" s="65"/>
    </row>
    <row r="81" spans="1:24" ht="15.5">
      <c r="A81" s="297"/>
      <c r="B81" s="65">
        <v>64</v>
      </c>
      <c r="C81" s="60" t="s">
        <v>224</v>
      </c>
      <c r="D81" s="61" t="s">
        <v>226</v>
      </c>
      <c r="E81" s="60"/>
      <c r="F81" s="65"/>
      <c r="G81" s="60"/>
      <c r="H81" s="69">
        <v>405</v>
      </c>
      <c r="I81" s="73"/>
      <c r="J81" s="69">
        <v>96</v>
      </c>
      <c r="K81" s="60"/>
      <c r="L81" s="69">
        <v>192</v>
      </c>
      <c r="M81" s="60"/>
      <c r="N81" s="69">
        <v>96</v>
      </c>
      <c r="O81" s="60"/>
      <c r="P81" s="67"/>
      <c r="Q81" s="60"/>
      <c r="R81" s="67"/>
      <c r="S81" s="60"/>
      <c r="T81" s="67"/>
      <c r="U81" s="60"/>
      <c r="V81" s="67"/>
      <c r="W81" s="60"/>
      <c r="X81" s="65"/>
    </row>
    <row r="82" spans="1:24" ht="15.5">
      <c r="A82" s="297"/>
      <c r="B82" s="65">
        <v>65</v>
      </c>
      <c r="C82" s="60" t="s">
        <v>225</v>
      </c>
      <c r="D82" s="61" t="s">
        <v>227</v>
      </c>
      <c r="E82" s="68">
        <v>450</v>
      </c>
      <c r="F82" s="65"/>
      <c r="G82" s="60"/>
      <c r="H82" s="65"/>
      <c r="I82" s="73"/>
      <c r="J82" s="65"/>
      <c r="K82" s="60"/>
      <c r="L82" s="67"/>
      <c r="M82" s="60"/>
      <c r="N82" s="67"/>
      <c r="O82" s="60"/>
      <c r="P82" s="67"/>
      <c r="Q82" s="60"/>
      <c r="R82" s="67"/>
      <c r="S82" s="60"/>
      <c r="T82" s="67"/>
      <c r="U82" s="60"/>
      <c r="V82" s="67"/>
      <c r="W82" s="60"/>
      <c r="X82" s="65"/>
    </row>
    <row r="83" spans="1:24" ht="15.5">
      <c r="A83" s="297"/>
      <c r="B83" s="65">
        <v>66</v>
      </c>
      <c r="C83" s="60" t="s">
        <v>226</v>
      </c>
      <c r="D83" s="61" t="s">
        <v>224</v>
      </c>
      <c r="E83" s="60"/>
      <c r="F83" s="65"/>
      <c r="G83" s="60"/>
      <c r="H83" s="65"/>
      <c r="I83" s="73"/>
      <c r="J83" s="65"/>
      <c r="K83" s="60"/>
      <c r="L83" s="67"/>
      <c r="M83" s="60"/>
      <c r="N83" s="67"/>
      <c r="O83" s="90">
        <v>96</v>
      </c>
      <c r="P83" s="67"/>
      <c r="Q83" s="90">
        <v>192</v>
      </c>
      <c r="R83" s="67"/>
      <c r="S83" s="60"/>
      <c r="T83" s="67"/>
      <c r="U83" s="60"/>
      <c r="V83" s="67"/>
      <c r="W83" s="60"/>
      <c r="X83" s="65"/>
    </row>
    <row r="84" spans="1:24" ht="15.5">
      <c r="A84" s="297"/>
      <c r="B84" s="65">
        <v>67</v>
      </c>
      <c r="C84" s="60" t="s">
        <v>227</v>
      </c>
      <c r="D84" s="65" t="s">
        <v>224</v>
      </c>
      <c r="E84" s="60"/>
      <c r="F84" s="65"/>
      <c r="G84" s="68">
        <v>405</v>
      </c>
      <c r="H84" s="65"/>
      <c r="I84" s="68">
        <v>96</v>
      </c>
      <c r="J84" s="65"/>
      <c r="K84" s="68">
        <v>192</v>
      </c>
      <c r="L84" s="67"/>
      <c r="M84" s="68">
        <v>96</v>
      </c>
      <c r="N84" s="67"/>
      <c r="O84" s="60"/>
      <c r="P84" s="67"/>
      <c r="Q84" s="60"/>
      <c r="R84" s="67"/>
      <c r="S84" s="60"/>
      <c r="T84" s="67"/>
      <c r="U84" s="60"/>
      <c r="V84" s="67"/>
      <c r="W84" s="60"/>
      <c r="X84" s="65"/>
    </row>
    <row r="85" spans="1:24" ht="15.5">
      <c r="A85" s="297"/>
      <c r="B85" s="65">
        <v>68</v>
      </c>
      <c r="C85" s="60" t="s">
        <v>224</v>
      </c>
      <c r="D85" s="61" t="s">
        <v>224</v>
      </c>
      <c r="E85" s="60"/>
      <c r="F85" s="91">
        <v>450</v>
      </c>
      <c r="G85" s="60"/>
      <c r="H85" s="65"/>
      <c r="I85" s="73"/>
      <c r="J85" s="65"/>
      <c r="K85" s="60"/>
      <c r="L85" s="67"/>
      <c r="M85" s="60"/>
      <c r="N85" s="67"/>
      <c r="O85" s="60"/>
      <c r="P85" s="67"/>
      <c r="Q85" s="60"/>
      <c r="R85" s="67"/>
      <c r="S85" s="60"/>
      <c r="T85" s="67"/>
      <c r="U85" s="60"/>
      <c r="V85" s="67"/>
      <c r="W85" s="60"/>
      <c r="X85" s="65"/>
    </row>
    <row r="86" spans="1:24" ht="15.5">
      <c r="A86" s="297"/>
      <c r="B86" s="65">
        <v>69</v>
      </c>
      <c r="C86" s="60" t="s">
        <v>224</v>
      </c>
      <c r="D86" s="61" t="s">
        <v>224</v>
      </c>
      <c r="E86" s="60"/>
      <c r="F86" s="65"/>
      <c r="G86" s="60"/>
      <c r="H86" s="65"/>
      <c r="I86" s="73"/>
      <c r="J86" s="65"/>
      <c r="K86" s="60"/>
      <c r="L86" s="67"/>
      <c r="M86" s="60"/>
      <c r="N86" s="67"/>
      <c r="O86" s="60"/>
      <c r="P86" s="69">
        <v>96</v>
      </c>
      <c r="Q86" s="60"/>
      <c r="R86" s="69">
        <v>192</v>
      </c>
      <c r="S86" s="60"/>
      <c r="T86" s="67"/>
      <c r="U86" s="60"/>
      <c r="V86" s="67"/>
      <c r="W86" s="60"/>
      <c r="X86" s="65"/>
    </row>
    <row r="87" spans="1:24" ht="15.5">
      <c r="A87" s="297"/>
      <c r="B87" s="65">
        <v>70</v>
      </c>
      <c r="C87" s="60" t="s">
        <v>224</v>
      </c>
      <c r="D87" s="67" t="s">
        <v>225</v>
      </c>
      <c r="E87" s="60"/>
      <c r="F87" s="65"/>
      <c r="G87" s="60"/>
      <c r="H87" s="91">
        <v>405</v>
      </c>
      <c r="I87" s="73"/>
      <c r="J87" s="91">
        <v>96</v>
      </c>
      <c r="K87" s="60"/>
      <c r="L87" s="91">
        <v>192</v>
      </c>
      <c r="M87" s="60"/>
      <c r="N87" s="91">
        <v>96</v>
      </c>
      <c r="O87" s="60"/>
      <c r="P87" s="67"/>
      <c r="Q87" s="60"/>
      <c r="R87" s="67"/>
      <c r="S87" s="60"/>
      <c r="T87" s="67"/>
      <c r="U87" s="60"/>
      <c r="V87" s="67"/>
      <c r="W87" s="60"/>
      <c r="X87" s="65"/>
    </row>
    <row r="88" spans="1:24" ht="15.5">
      <c r="A88" s="297"/>
      <c r="B88" s="65">
        <v>71</v>
      </c>
      <c r="C88" s="60" t="s">
        <v>225</v>
      </c>
      <c r="D88" s="67" t="s">
        <v>226</v>
      </c>
      <c r="E88" s="79">
        <v>450</v>
      </c>
      <c r="F88" s="65"/>
      <c r="G88" s="60"/>
      <c r="H88" s="65"/>
      <c r="I88" s="73"/>
      <c r="J88" s="65"/>
      <c r="K88" s="60"/>
      <c r="L88" s="67"/>
      <c r="M88" s="60"/>
      <c r="N88" s="67"/>
      <c r="O88" s="60"/>
      <c r="P88" s="67"/>
      <c r="Q88" s="60"/>
      <c r="R88" s="67"/>
      <c r="S88" s="60"/>
      <c r="T88" s="67"/>
      <c r="U88" s="60"/>
      <c r="V88" s="67"/>
      <c r="W88" s="60"/>
      <c r="X88" s="65"/>
    </row>
    <row r="89" spans="1:24" ht="15.5">
      <c r="A89" s="298"/>
      <c r="B89" s="65">
        <v>72</v>
      </c>
      <c r="C89" s="60" t="s">
        <v>226</v>
      </c>
      <c r="D89" s="67" t="s">
        <v>227</v>
      </c>
      <c r="E89" s="60"/>
      <c r="F89" s="65"/>
      <c r="G89" s="60"/>
      <c r="H89" s="65"/>
      <c r="I89" s="73"/>
      <c r="J89" s="65"/>
      <c r="K89" s="60"/>
      <c r="L89" s="67"/>
      <c r="M89" s="60"/>
      <c r="N89" s="67"/>
      <c r="O89" s="68">
        <v>96</v>
      </c>
      <c r="P89" s="67"/>
      <c r="Q89" s="68">
        <v>192</v>
      </c>
      <c r="R89" s="67"/>
      <c r="S89" s="79">
        <v>405</v>
      </c>
      <c r="T89" s="69">
        <v>0</v>
      </c>
      <c r="U89" s="68">
        <v>0</v>
      </c>
      <c r="V89" s="91">
        <v>96</v>
      </c>
      <c r="W89" s="68">
        <v>0</v>
      </c>
      <c r="X89" s="91">
        <v>192</v>
      </c>
    </row>
    <row r="90" spans="1:24" ht="15.5">
      <c r="A90" s="92"/>
      <c r="B90" s="85"/>
      <c r="C90" s="85"/>
      <c r="D90" s="85"/>
      <c r="E90" s="299">
        <v>1800</v>
      </c>
      <c r="F90" s="299"/>
      <c r="G90" s="299">
        <v>1620</v>
      </c>
      <c r="H90" s="299"/>
      <c r="I90" s="299">
        <v>384</v>
      </c>
      <c r="J90" s="299"/>
      <c r="K90" s="299">
        <v>768</v>
      </c>
      <c r="L90" s="299"/>
      <c r="M90" s="299">
        <v>384</v>
      </c>
      <c r="N90" s="299"/>
      <c r="O90" s="299">
        <v>384</v>
      </c>
      <c r="P90" s="299"/>
      <c r="Q90" s="299">
        <v>768</v>
      </c>
      <c r="R90" s="299"/>
      <c r="S90" s="299">
        <v>405</v>
      </c>
      <c r="T90" s="299"/>
      <c r="U90" s="299">
        <v>96</v>
      </c>
      <c r="V90" s="299"/>
      <c r="W90" s="299">
        <v>192</v>
      </c>
      <c r="X90" s="299"/>
    </row>
    <row r="91" spans="1:24" ht="15.5">
      <c r="A91" s="92"/>
      <c r="B91" s="85"/>
      <c r="C91" s="299" t="s">
        <v>230</v>
      </c>
      <c r="D91" s="299"/>
      <c r="E91" s="299"/>
      <c r="F91" s="299"/>
      <c r="G91" s="299">
        <f>G90*60*0.25/1000</f>
        <v>24.3</v>
      </c>
      <c r="H91" s="299"/>
      <c r="I91" s="299">
        <f>((I90/4*3*180)+(I90/4*1*90))*1.8/1000</f>
        <v>108.864</v>
      </c>
      <c r="J91" s="299"/>
      <c r="K91" s="299">
        <f>((K90/4*3*180)+(K90/4*1*90))*1/1000</f>
        <v>120.96</v>
      </c>
      <c r="L91" s="299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</row>
    <row r="92" spans="1:24" ht="15.5">
      <c r="A92" s="92"/>
      <c r="B92" s="85"/>
      <c r="C92" s="299" t="s">
        <v>231</v>
      </c>
      <c r="D92" s="299"/>
      <c r="E92" s="299"/>
      <c r="F92" s="299"/>
      <c r="G92" s="299">
        <v>0</v>
      </c>
      <c r="H92" s="299"/>
      <c r="I92" s="299">
        <v>0</v>
      </c>
      <c r="J92" s="299"/>
      <c r="K92" s="299">
        <f>((K90/4*3*180)+(K90/4*1*90))*5/1000</f>
        <v>604.79999999999995</v>
      </c>
      <c r="L92" s="299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</row>
  </sheetData>
  <mergeCells count="141">
    <mergeCell ref="S75:T75"/>
    <mergeCell ref="U75:V75"/>
    <mergeCell ref="W75:X75"/>
    <mergeCell ref="C62:D62"/>
    <mergeCell ref="E62:F62"/>
    <mergeCell ref="G62:H62"/>
    <mergeCell ref="I62:J62"/>
    <mergeCell ref="C92:D92"/>
    <mergeCell ref="E92:F92"/>
    <mergeCell ref="G92:H92"/>
    <mergeCell ref="I92:J92"/>
    <mergeCell ref="K92:L92"/>
    <mergeCell ref="S90:T90"/>
    <mergeCell ref="U90:V90"/>
    <mergeCell ref="W90:X90"/>
    <mergeCell ref="C91:D91"/>
    <mergeCell ref="E91:F91"/>
    <mergeCell ref="G91:H91"/>
    <mergeCell ref="I91:J91"/>
    <mergeCell ref="K91:L91"/>
    <mergeCell ref="O90:P90"/>
    <mergeCell ref="Q90:R90"/>
    <mergeCell ref="E75:F75"/>
    <mergeCell ref="G75:H75"/>
    <mergeCell ref="A78:A89"/>
    <mergeCell ref="E90:F90"/>
    <mergeCell ref="G90:H90"/>
    <mergeCell ref="I90:J90"/>
    <mergeCell ref="K90:L90"/>
    <mergeCell ref="M90:N90"/>
    <mergeCell ref="C76:D76"/>
    <mergeCell ref="E76:F76"/>
    <mergeCell ref="G76:H76"/>
    <mergeCell ref="I76:J76"/>
    <mergeCell ref="K76:L76"/>
    <mergeCell ref="C77:D77"/>
    <mergeCell ref="E77:F77"/>
    <mergeCell ref="G77:H77"/>
    <mergeCell ref="I77:J77"/>
    <mergeCell ref="K77:L77"/>
    <mergeCell ref="A63:A74"/>
    <mergeCell ref="O60:P60"/>
    <mergeCell ref="Q60:R60"/>
    <mergeCell ref="S60:T60"/>
    <mergeCell ref="U60:V60"/>
    <mergeCell ref="W60:X60"/>
    <mergeCell ref="C61:D61"/>
    <mergeCell ref="E61:F61"/>
    <mergeCell ref="G61:H61"/>
    <mergeCell ref="I61:J61"/>
    <mergeCell ref="K61:L61"/>
    <mergeCell ref="U31:V31"/>
    <mergeCell ref="C47:D47"/>
    <mergeCell ref="E47:F47"/>
    <mergeCell ref="G47:H47"/>
    <mergeCell ref="I47:J47"/>
    <mergeCell ref="K47:L47"/>
    <mergeCell ref="A48:A59"/>
    <mergeCell ref="U45:V45"/>
    <mergeCell ref="W45:X45"/>
    <mergeCell ref="C46:D46"/>
    <mergeCell ref="E46:F46"/>
    <mergeCell ref="G46:H46"/>
    <mergeCell ref="I46:J46"/>
    <mergeCell ref="K46:L46"/>
    <mergeCell ref="E45:F45"/>
    <mergeCell ref="G45:H45"/>
    <mergeCell ref="I45:J45"/>
    <mergeCell ref="K45:L45"/>
    <mergeCell ref="M45:N45"/>
    <mergeCell ref="O45:P45"/>
    <mergeCell ref="Q45:R45"/>
    <mergeCell ref="S45:T45"/>
    <mergeCell ref="C31:D31"/>
    <mergeCell ref="E31:F31"/>
    <mergeCell ref="G31:H31"/>
    <mergeCell ref="I31:J31"/>
    <mergeCell ref="K31:L31"/>
    <mergeCell ref="M31:N31"/>
    <mergeCell ref="Q31:R31"/>
    <mergeCell ref="A33:A44"/>
    <mergeCell ref="A18:A29"/>
    <mergeCell ref="E30:F30"/>
    <mergeCell ref="G30:H30"/>
    <mergeCell ref="I30:J30"/>
    <mergeCell ref="K30:L30"/>
    <mergeCell ref="M30:N30"/>
    <mergeCell ref="C17:D17"/>
    <mergeCell ref="G17:H17"/>
    <mergeCell ref="I17:J17"/>
    <mergeCell ref="K17:L17"/>
    <mergeCell ref="O30:P30"/>
    <mergeCell ref="Q30:R30"/>
    <mergeCell ref="S30:T30"/>
    <mergeCell ref="U30:V30"/>
    <mergeCell ref="W30:X30"/>
    <mergeCell ref="W31:X31"/>
    <mergeCell ref="C32:D32"/>
    <mergeCell ref="E32:F32"/>
    <mergeCell ref="G32:H32"/>
    <mergeCell ref="I32:J32"/>
    <mergeCell ref="K32:L32"/>
    <mergeCell ref="Q15:R15"/>
    <mergeCell ref="S15:T15"/>
    <mergeCell ref="U15:V15"/>
    <mergeCell ref="W15:X15"/>
    <mergeCell ref="C16:D16"/>
    <mergeCell ref="G16:H16"/>
    <mergeCell ref="I16:J16"/>
    <mergeCell ref="K16:L16"/>
    <mergeCell ref="M16:N16"/>
    <mergeCell ref="Q16:R16"/>
    <mergeCell ref="E15:F15"/>
    <mergeCell ref="G15:H15"/>
    <mergeCell ref="I15:J15"/>
    <mergeCell ref="K15:L15"/>
    <mergeCell ref="M15:N15"/>
    <mergeCell ref="O15:P15"/>
    <mergeCell ref="U16:V16"/>
    <mergeCell ref="W16:X16"/>
    <mergeCell ref="O1:P1"/>
    <mergeCell ref="Q1:R1"/>
    <mergeCell ref="S1:T1"/>
    <mergeCell ref="U1:V1"/>
    <mergeCell ref="W1:X1"/>
    <mergeCell ref="A3:A14"/>
    <mergeCell ref="E1:F1"/>
    <mergeCell ref="G1:H1"/>
    <mergeCell ref="I1:J1"/>
    <mergeCell ref="K1:L1"/>
    <mergeCell ref="M1:N1"/>
    <mergeCell ref="Q75:R75"/>
    <mergeCell ref="I75:J75"/>
    <mergeCell ref="K75:L75"/>
    <mergeCell ref="E60:F60"/>
    <mergeCell ref="G60:H60"/>
    <mergeCell ref="K60:L60"/>
    <mergeCell ref="M60:N60"/>
    <mergeCell ref="K62:L62"/>
    <mergeCell ref="M75:N75"/>
    <mergeCell ref="O75:P75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AK22"/>
  <sheetViews>
    <sheetView zoomScale="130" zoomScaleNormal="130" workbookViewId="0">
      <pane xSplit="1" topLeftCell="B1" activePane="topRight" state="frozen"/>
      <selection pane="topRight" activeCell="AM7" sqref="AM7"/>
    </sheetView>
  </sheetViews>
  <sheetFormatPr defaultRowHeight="14.5"/>
  <cols>
    <col min="1" max="1" width="16.90625" style="96" customWidth="1"/>
    <col min="2" max="2" width="2.81640625" customWidth="1"/>
    <col min="3" max="3" width="3.81640625" customWidth="1"/>
    <col min="4" max="4" width="5.453125" customWidth="1"/>
    <col min="5" max="5" width="3.81640625" customWidth="1"/>
    <col min="6" max="6" width="3.7265625" customWidth="1"/>
    <col min="7" max="7" width="4" customWidth="1"/>
    <col min="8" max="8" width="3.81640625" customWidth="1"/>
    <col min="9" max="9" width="4" customWidth="1"/>
    <col min="10" max="10" width="4.81640625" customWidth="1"/>
    <col min="11" max="11" width="4.1796875" customWidth="1"/>
    <col min="12" max="12" width="4" customWidth="1"/>
    <col min="13" max="13" width="4.1796875" customWidth="1"/>
    <col min="14" max="14" width="3.81640625" customWidth="1"/>
    <col min="15" max="15" width="3.7265625" customWidth="1"/>
    <col min="16" max="16" width="4.7265625" customWidth="1"/>
    <col min="17" max="17" width="4.1796875" customWidth="1"/>
    <col min="18" max="18" width="4" customWidth="1"/>
    <col min="19" max="19" width="4.453125" customWidth="1"/>
    <col min="20" max="20" width="3.81640625" customWidth="1"/>
    <col min="21" max="21" width="4" customWidth="1"/>
    <col min="22" max="22" width="4.81640625" customWidth="1"/>
    <col min="23" max="23" width="3.81640625" customWidth="1"/>
    <col min="24" max="24" width="3.7265625" customWidth="1"/>
    <col min="25" max="25" width="4.1796875" customWidth="1"/>
    <col min="26" max="27" width="4" customWidth="1"/>
    <col min="28" max="28" width="5.1796875" customWidth="1"/>
    <col min="29" max="29" width="4.1796875" customWidth="1"/>
    <col min="30" max="30" width="3.7265625" customWidth="1"/>
    <col min="31" max="31" width="4.1796875" customWidth="1"/>
    <col min="32" max="32" width="3.1796875" customWidth="1"/>
    <col min="33" max="33" width="3.81640625" customWidth="1"/>
    <col min="34" max="34" width="4.81640625" customWidth="1"/>
    <col min="35" max="35" width="3.81640625" customWidth="1"/>
    <col min="36" max="36" width="3.7265625" customWidth="1"/>
  </cols>
  <sheetData>
    <row r="4" spans="1:37" s="97" customFormat="1" ht="11.25" customHeight="1">
      <c r="A4" s="332" t="s">
        <v>0</v>
      </c>
      <c r="B4" s="300" t="s">
        <v>1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 t="s">
        <v>1</v>
      </c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2"/>
    </row>
    <row r="5" spans="1:37" s="97" customFormat="1" ht="11.25" customHeight="1">
      <c r="A5" s="333"/>
      <c r="B5" s="321" t="s">
        <v>17</v>
      </c>
      <c r="C5" s="328"/>
      <c r="D5" s="328"/>
      <c r="E5" s="328"/>
      <c r="F5" s="328"/>
      <c r="G5" s="322"/>
      <c r="H5" s="329" t="s">
        <v>2</v>
      </c>
      <c r="I5" s="330"/>
      <c r="J5" s="330"/>
      <c r="K5" s="330"/>
      <c r="L5" s="330"/>
      <c r="M5" s="331"/>
      <c r="N5" s="320" t="s">
        <v>3</v>
      </c>
      <c r="O5" s="320"/>
      <c r="P5" s="320"/>
      <c r="Q5" s="320"/>
      <c r="R5" s="320"/>
      <c r="S5" s="320"/>
      <c r="T5" s="324" t="s">
        <v>4</v>
      </c>
      <c r="U5" s="324"/>
      <c r="V5" s="324"/>
      <c r="W5" s="324"/>
      <c r="X5" s="324"/>
      <c r="Y5" s="324"/>
      <c r="Z5" s="320" t="s">
        <v>5</v>
      </c>
      <c r="AA5" s="320"/>
      <c r="AB5" s="320"/>
      <c r="AC5" s="320"/>
      <c r="AD5" s="320"/>
      <c r="AE5" s="320"/>
      <c r="AF5" s="336" t="s">
        <v>233</v>
      </c>
      <c r="AG5" s="336"/>
      <c r="AH5" s="336"/>
      <c r="AI5" s="336"/>
      <c r="AJ5" s="336"/>
      <c r="AK5" s="336"/>
    </row>
    <row r="6" spans="1:37" s="97" customFormat="1" ht="11.25" customHeight="1">
      <c r="A6" s="333"/>
      <c r="B6" s="321" t="s">
        <v>6</v>
      </c>
      <c r="C6" s="322"/>
      <c r="D6" s="321" t="s">
        <v>18</v>
      </c>
      <c r="E6" s="328"/>
      <c r="F6" s="328"/>
      <c r="G6" s="322"/>
      <c r="H6" s="323" t="s">
        <v>6</v>
      </c>
      <c r="I6" s="323"/>
      <c r="J6" s="329" t="s">
        <v>18</v>
      </c>
      <c r="K6" s="330"/>
      <c r="L6" s="330"/>
      <c r="M6" s="331"/>
      <c r="N6" s="320" t="s">
        <v>6</v>
      </c>
      <c r="O6" s="320"/>
      <c r="P6" s="320" t="s">
        <v>7</v>
      </c>
      <c r="Q6" s="320"/>
      <c r="R6" s="320"/>
      <c r="S6" s="320"/>
      <c r="T6" s="324" t="s">
        <v>6</v>
      </c>
      <c r="U6" s="324"/>
      <c r="V6" s="324" t="s">
        <v>7</v>
      </c>
      <c r="W6" s="324"/>
      <c r="X6" s="324"/>
      <c r="Y6" s="324"/>
      <c r="Z6" s="320" t="s">
        <v>6</v>
      </c>
      <c r="AA6" s="320"/>
      <c r="AB6" s="325" t="s">
        <v>7</v>
      </c>
      <c r="AC6" s="326"/>
      <c r="AD6" s="326"/>
      <c r="AE6" s="327"/>
      <c r="AF6" s="336" t="s">
        <v>6</v>
      </c>
      <c r="AG6" s="336"/>
      <c r="AH6" s="337" t="s">
        <v>7</v>
      </c>
      <c r="AI6" s="338"/>
      <c r="AJ6" s="338"/>
      <c r="AK6" s="339"/>
    </row>
    <row r="7" spans="1:37" s="97" customFormat="1" ht="11.25" customHeight="1">
      <c r="A7" s="333"/>
      <c r="B7" s="335" t="s">
        <v>8</v>
      </c>
      <c r="C7" s="335" t="s">
        <v>9</v>
      </c>
      <c r="D7" s="306" t="s">
        <v>224</v>
      </c>
      <c r="E7" s="306" t="s">
        <v>232</v>
      </c>
      <c r="F7" s="316" t="s">
        <v>8</v>
      </c>
      <c r="G7" s="335" t="s">
        <v>10</v>
      </c>
      <c r="H7" s="314" t="s">
        <v>8</v>
      </c>
      <c r="I7" s="314" t="s">
        <v>9</v>
      </c>
      <c r="J7" s="314" t="s">
        <v>224</v>
      </c>
      <c r="K7" s="308" t="s">
        <v>232</v>
      </c>
      <c r="L7" s="318" t="s">
        <v>8</v>
      </c>
      <c r="M7" s="314" t="s">
        <v>10</v>
      </c>
      <c r="N7" s="315" t="s">
        <v>8</v>
      </c>
      <c r="O7" s="315" t="s">
        <v>9</v>
      </c>
      <c r="P7" s="315" t="s">
        <v>224</v>
      </c>
      <c r="Q7" s="310" t="s">
        <v>232</v>
      </c>
      <c r="R7" s="315" t="s">
        <v>8</v>
      </c>
      <c r="S7" s="315" t="s">
        <v>10</v>
      </c>
      <c r="T7" s="341" t="s">
        <v>8</v>
      </c>
      <c r="U7" s="341" t="s">
        <v>9</v>
      </c>
      <c r="V7" s="341" t="s">
        <v>224</v>
      </c>
      <c r="W7" s="312" t="s">
        <v>232</v>
      </c>
      <c r="X7" s="341" t="s">
        <v>8</v>
      </c>
      <c r="Y7" s="341" t="s">
        <v>10</v>
      </c>
      <c r="Z7" s="315" t="s">
        <v>8</v>
      </c>
      <c r="AA7" s="315" t="s">
        <v>9</v>
      </c>
      <c r="AB7" s="315" t="s">
        <v>224</v>
      </c>
      <c r="AC7" s="310" t="s">
        <v>232</v>
      </c>
      <c r="AD7" s="315" t="s">
        <v>8</v>
      </c>
      <c r="AE7" s="315" t="s">
        <v>10</v>
      </c>
      <c r="AF7" s="303" t="s">
        <v>8</v>
      </c>
      <c r="AG7" s="303" t="s">
        <v>9</v>
      </c>
      <c r="AH7" s="303" t="s">
        <v>224</v>
      </c>
      <c r="AI7" s="304" t="s">
        <v>232</v>
      </c>
      <c r="AJ7" s="303" t="s">
        <v>8</v>
      </c>
      <c r="AK7" s="303" t="s">
        <v>10</v>
      </c>
    </row>
    <row r="8" spans="1:37" s="97" customFormat="1" ht="11.25" customHeight="1">
      <c r="A8" s="334"/>
      <c r="B8" s="335"/>
      <c r="C8" s="335"/>
      <c r="D8" s="307"/>
      <c r="E8" s="307"/>
      <c r="F8" s="317"/>
      <c r="G8" s="335"/>
      <c r="H8" s="314"/>
      <c r="I8" s="314"/>
      <c r="J8" s="314"/>
      <c r="K8" s="309"/>
      <c r="L8" s="319"/>
      <c r="M8" s="314"/>
      <c r="N8" s="315"/>
      <c r="O8" s="315"/>
      <c r="P8" s="315"/>
      <c r="Q8" s="311"/>
      <c r="R8" s="315"/>
      <c r="S8" s="315"/>
      <c r="T8" s="341"/>
      <c r="U8" s="341"/>
      <c r="V8" s="341"/>
      <c r="W8" s="313"/>
      <c r="X8" s="341"/>
      <c r="Y8" s="341"/>
      <c r="Z8" s="315"/>
      <c r="AA8" s="315"/>
      <c r="AB8" s="315"/>
      <c r="AC8" s="311"/>
      <c r="AD8" s="315"/>
      <c r="AE8" s="315"/>
      <c r="AF8" s="303"/>
      <c r="AG8" s="303"/>
      <c r="AH8" s="303"/>
      <c r="AI8" s="305"/>
      <c r="AJ8" s="303"/>
      <c r="AK8" s="303"/>
    </row>
    <row r="9" spans="1:37" ht="26.25" customHeight="1">
      <c r="A9" s="98" t="s">
        <v>11</v>
      </c>
      <c r="B9" s="110">
        <v>10</v>
      </c>
      <c r="C9" s="110">
        <v>100</v>
      </c>
      <c r="D9" s="110">
        <v>0</v>
      </c>
      <c r="E9" s="110">
        <v>0</v>
      </c>
      <c r="F9" s="110">
        <v>0</v>
      </c>
      <c r="G9" s="110">
        <v>0</v>
      </c>
      <c r="H9" s="102">
        <v>10</v>
      </c>
      <c r="I9" s="102">
        <v>100</v>
      </c>
      <c r="J9" s="102">
        <f t="shared" ref="J9:O9" si="0">D17</f>
        <v>0</v>
      </c>
      <c r="K9" s="102">
        <f t="shared" si="0"/>
        <v>405</v>
      </c>
      <c r="L9" s="102">
        <f t="shared" si="0"/>
        <v>96</v>
      </c>
      <c r="M9" s="102">
        <f t="shared" si="0"/>
        <v>192</v>
      </c>
      <c r="N9" s="104">
        <f t="shared" si="0"/>
        <v>10</v>
      </c>
      <c r="O9" s="104">
        <f t="shared" si="0"/>
        <v>100</v>
      </c>
      <c r="P9" s="104">
        <v>0</v>
      </c>
      <c r="Q9" s="104">
        <f t="shared" ref="Q9:AC9" si="1">K17</f>
        <v>405</v>
      </c>
      <c r="R9" s="104">
        <f t="shared" si="1"/>
        <v>96</v>
      </c>
      <c r="S9" s="104">
        <f t="shared" si="1"/>
        <v>192</v>
      </c>
      <c r="T9" s="107">
        <f t="shared" si="1"/>
        <v>10</v>
      </c>
      <c r="U9" s="107">
        <f t="shared" si="1"/>
        <v>100</v>
      </c>
      <c r="V9" s="107">
        <f t="shared" si="1"/>
        <v>0</v>
      </c>
      <c r="W9" s="107">
        <f t="shared" si="1"/>
        <v>405</v>
      </c>
      <c r="X9" s="107">
        <f t="shared" si="1"/>
        <v>96</v>
      </c>
      <c r="Y9" s="107">
        <f t="shared" si="1"/>
        <v>192</v>
      </c>
      <c r="Z9" s="104">
        <f t="shared" si="1"/>
        <v>10</v>
      </c>
      <c r="AA9" s="104">
        <f t="shared" si="1"/>
        <v>100</v>
      </c>
      <c r="AB9" s="104">
        <f t="shared" si="1"/>
        <v>0</v>
      </c>
      <c r="AC9" s="104">
        <f t="shared" si="1"/>
        <v>405</v>
      </c>
      <c r="AD9" s="104">
        <f t="shared" ref="AD9:AE9" si="2">X17</f>
        <v>96</v>
      </c>
      <c r="AE9" s="104">
        <f t="shared" si="2"/>
        <v>192</v>
      </c>
      <c r="AF9" s="99">
        <f>Z17</f>
        <v>10</v>
      </c>
      <c r="AG9" s="99">
        <f>AA17</f>
        <v>100</v>
      </c>
      <c r="AH9" s="99">
        <f>AB17</f>
        <v>0</v>
      </c>
      <c r="AI9" s="99">
        <f>AC17</f>
        <v>405</v>
      </c>
      <c r="AJ9" s="99">
        <f t="shared" ref="AJ9" si="3">AD17</f>
        <v>96</v>
      </c>
      <c r="AK9" s="99">
        <f t="shared" ref="AK9" si="4">AE17</f>
        <v>192</v>
      </c>
    </row>
    <row r="10" spans="1:37">
      <c r="A10" s="98" t="s">
        <v>12</v>
      </c>
      <c r="B10" s="110">
        <v>0</v>
      </c>
      <c r="C10" s="110">
        <v>0</v>
      </c>
      <c r="D10" s="110">
        <v>1350</v>
      </c>
      <c r="E10" s="110">
        <v>0</v>
      </c>
      <c r="F10" s="110">
        <v>0</v>
      </c>
      <c r="G10" s="110">
        <v>0</v>
      </c>
      <c r="H10" s="102">
        <v>0</v>
      </c>
      <c r="I10" s="102">
        <v>0</v>
      </c>
      <c r="J10" s="102">
        <v>1800</v>
      </c>
      <c r="K10" s="102">
        <v>0</v>
      </c>
      <c r="L10" s="102">
        <v>0</v>
      </c>
      <c r="M10" s="102">
        <v>0</v>
      </c>
      <c r="N10" s="104">
        <v>0</v>
      </c>
      <c r="O10" s="104">
        <v>0</v>
      </c>
      <c r="P10" s="104">
        <v>1800</v>
      </c>
      <c r="Q10" s="104">
        <v>0</v>
      </c>
      <c r="R10" s="104">
        <v>0</v>
      </c>
      <c r="S10" s="104">
        <v>0</v>
      </c>
      <c r="T10" s="108">
        <v>0</v>
      </c>
      <c r="U10" s="108">
        <v>0</v>
      </c>
      <c r="V10" s="107">
        <v>1800</v>
      </c>
      <c r="W10" s="107">
        <v>0</v>
      </c>
      <c r="X10" s="107">
        <v>0</v>
      </c>
      <c r="Y10" s="107">
        <v>0</v>
      </c>
      <c r="Z10" s="106">
        <v>0</v>
      </c>
      <c r="AA10" s="106">
        <v>0</v>
      </c>
      <c r="AB10" s="104">
        <v>1800</v>
      </c>
      <c r="AC10" s="104">
        <v>0</v>
      </c>
      <c r="AD10" s="104">
        <v>0</v>
      </c>
      <c r="AE10" s="104">
        <v>0</v>
      </c>
      <c r="AF10" s="100">
        <v>0</v>
      </c>
      <c r="AG10" s="100">
        <v>0</v>
      </c>
      <c r="AH10" s="99">
        <v>1800</v>
      </c>
      <c r="AI10" s="99">
        <v>0</v>
      </c>
      <c r="AJ10" s="99">
        <v>0</v>
      </c>
      <c r="AK10" s="99">
        <v>0</v>
      </c>
    </row>
    <row r="11" spans="1:37">
      <c r="A11" s="98" t="s">
        <v>13</v>
      </c>
      <c r="B11" s="110">
        <v>0</v>
      </c>
      <c r="C11" s="110">
        <v>0</v>
      </c>
      <c r="D11" s="110">
        <v>135</v>
      </c>
      <c r="E11" s="110">
        <v>0</v>
      </c>
      <c r="F11" s="110">
        <v>0</v>
      </c>
      <c r="G11" s="110">
        <v>0</v>
      </c>
      <c r="H11" s="102">
        <v>0</v>
      </c>
      <c r="I11" s="102">
        <v>0</v>
      </c>
      <c r="J11" s="102">
        <v>180</v>
      </c>
      <c r="K11" s="102">
        <v>0</v>
      </c>
      <c r="L11" s="102">
        <v>0</v>
      </c>
      <c r="M11" s="102">
        <v>0</v>
      </c>
      <c r="N11" s="104">
        <v>0</v>
      </c>
      <c r="O11" s="104">
        <v>0</v>
      </c>
      <c r="P11" s="104">
        <v>180</v>
      </c>
      <c r="Q11" s="104">
        <v>0</v>
      </c>
      <c r="R11" s="104">
        <v>0</v>
      </c>
      <c r="S11" s="104">
        <v>0</v>
      </c>
      <c r="T11" s="108">
        <v>0</v>
      </c>
      <c r="U11" s="108">
        <v>0</v>
      </c>
      <c r="V11" s="107">
        <v>180</v>
      </c>
      <c r="W11" s="107">
        <v>0</v>
      </c>
      <c r="X11" s="107">
        <v>0</v>
      </c>
      <c r="Y11" s="107">
        <v>0</v>
      </c>
      <c r="Z11" s="106">
        <v>0</v>
      </c>
      <c r="AA11" s="106">
        <v>0</v>
      </c>
      <c r="AB11" s="104">
        <v>180</v>
      </c>
      <c r="AC11" s="104">
        <v>0</v>
      </c>
      <c r="AD11" s="104">
        <v>0</v>
      </c>
      <c r="AE11" s="104">
        <v>0</v>
      </c>
      <c r="AF11" s="100">
        <v>0</v>
      </c>
      <c r="AG11" s="100">
        <v>0</v>
      </c>
      <c r="AH11" s="99">
        <v>180</v>
      </c>
      <c r="AI11" s="99">
        <v>0</v>
      </c>
      <c r="AJ11" s="99">
        <v>0</v>
      </c>
      <c r="AK11" s="99">
        <v>0</v>
      </c>
    </row>
    <row r="12" spans="1:37">
      <c r="A12" s="98" t="s">
        <v>14</v>
      </c>
      <c r="B12" s="110">
        <v>0</v>
      </c>
      <c r="C12" s="110">
        <v>0</v>
      </c>
      <c r="D12" s="110">
        <v>1215</v>
      </c>
      <c r="E12" s="110">
        <v>613</v>
      </c>
      <c r="F12" s="110">
        <v>205</v>
      </c>
      <c r="G12" s="110">
        <v>397</v>
      </c>
      <c r="H12" s="102">
        <v>0</v>
      </c>
      <c r="I12" s="102">
        <v>0</v>
      </c>
      <c r="J12" s="102">
        <f>J10-J11</f>
        <v>1620</v>
      </c>
      <c r="K12" s="102">
        <v>416</v>
      </c>
      <c r="L12" s="102">
        <v>412</v>
      </c>
      <c r="M12" s="102">
        <v>792</v>
      </c>
      <c r="N12" s="104">
        <v>0</v>
      </c>
      <c r="O12" s="104">
        <v>0</v>
      </c>
      <c r="P12" s="104">
        <f>P10-P11</f>
        <v>1620</v>
      </c>
      <c r="Q12" s="104">
        <v>416</v>
      </c>
      <c r="R12" s="104">
        <v>412</v>
      </c>
      <c r="S12" s="104">
        <v>792</v>
      </c>
      <c r="T12" s="108">
        <v>0</v>
      </c>
      <c r="U12" s="108">
        <v>0</v>
      </c>
      <c r="V12" s="107">
        <f>V10-V11</f>
        <v>1620</v>
      </c>
      <c r="W12" s="107">
        <v>416</v>
      </c>
      <c r="X12" s="107">
        <v>412</v>
      </c>
      <c r="Y12" s="107">
        <v>792</v>
      </c>
      <c r="Z12" s="106">
        <v>0</v>
      </c>
      <c r="AA12" s="106">
        <v>0</v>
      </c>
      <c r="AB12" s="104">
        <f>AB10-AB11</f>
        <v>1620</v>
      </c>
      <c r="AC12" s="104">
        <v>416</v>
      </c>
      <c r="AD12" s="104">
        <v>412</v>
      </c>
      <c r="AE12" s="104">
        <v>792</v>
      </c>
      <c r="AF12" s="100">
        <v>0</v>
      </c>
      <c r="AG12" s="100">
        <v>0</v>
      </c>
      <c r="AH12" s="99">
        <f>AH10-AH11</f>
        <v>1620</v>
      </c>
      <c r="AI12" s="99">
        <v>416</v>
      </c>
      <c r="AJ12" s="99">
        <v>412</v>
      </c>
      <c r="AK12" s="99">
        <v>792</v>
      </c>
    </row>
    <row r="13" spans="1:37">
      <c r="A13" s="144" t="s">
        <v>271</v>
      </c>
      <c r="B13" s="110">
        <v>0</v>
      </c>
      <c r="C13" s="110">
        <v>0</v>
      </c>
      <c r="D13" s="110">
        <v>0</v>
      </c>
      <c r="E13" s="110">
        <v>16</v>
      </c>
      <c r="F13" s="110">
        <v>13</v>
      </c>
      <c r="G13" s="110">
        <v>13</v>
      </c>
      <c r="H13" s="102">
        <v>1</v>
      </c>
      <c r="I13" s="102">
        <v>0</v>
      </c>
      <c r="J13" s="102">
        <v>0</v>
      </c>
      <c r="K13" s="102">
        <v>32</v>
      </c>
      <c r="L13" s="102">
        <v>28</v>
      </c>
      <c r="M13" s="102">
        <v>24</v>
      </c>
      <c r="N13" s="104">
        <v>1</v>
      </c>
      <c r="O13" s="104">
        <v>0</v>
      </c>
      <c r="P13" s="104">
        <v>0</v>
      </c>
      <c r="Q13" s="104">
        <v>32</v>
      </c>
      <c r="R13" s="104">
        <v>28</v>
      </c>
      <c r="S13" s="104">
        <v>24</v>
      </c>
      <c r="T13" s="108">
        <v>1</v>
      </c>
      <c r="U13" s="108">
        <v>0</v>
      </c>
      <c r="V13" s="107">
        <v>0</v>
      </c>
      <c r="W13" s="107">
        <v>32</v>
      </c>
      <c r="X13" s="107">
        <v>28</v>
      </c>
      <c r="Y13" s="107">
        <v>24</v>
      </c>
      <c r="Z13" s="106">
        <v>1</v>
      </c>
      <c r="AA13" s="106">
        <v>0</v>
      </c>
      <c r="AB13" s="104">
        <v>0</v>
      </c>
      <c r="AC13" s="104">
        <v>32</v>
      </c>
      <c r="AD13" s="104">
        <v>28</v>
      </c>
      <c r="AE13" s="104">
        <v>24</v>
      </c>
      <c r="AF13" s="100">
        <v>1</v>
      </c>
      <c r="AG13" s="100">
        <v>0</v>
      </c>
      <c r="AH13" s="99">
        <v>0</v>
      </c>
      <c r="AI13" s="99">
        <v>32</v>
      </c>
      <c r="AJ13" s="99">
        <v>28</v>
      </c>
      <c r="AK13" s="99">
        <v>24</v>
      </c>
    </row>
    <row r="14" spans="1:37">
      <c r="A14" s="144" t="s">
        <v>272</v>
      </c>
      <c r="B14" s="110">
        <v>0</v>
      </c>
      <c r="C14" s="110">
        <v>0</v>
      </c>
      <c r="D14" s="110">
        <v>0</v>
      </c>
      <c r="E14" s="110">
        <v>192</v>
      </c>
      <c r="F14" s="110">
        <v>96</v>
      </c>
      <c r="G14" s="110">
        <v>192</v>
      </c>
      <c r="H14" s="102">
        <v>2</v>
      </c>
      <c r="I14" s="102">
        <v>0</v>
      </c>
      <c r="J14" s="102">
        <v>0</v>
      </c>
      <c r="K14" s="103">
        <v>384</v>
      </c>
      <c r="L14" s="103">
        <v>384</v>
      </c>
      <c r="M14" s="102">
        <v>768</v>
      </c>
      <c r="N14" s="104">
        <v>2</v>
      </c>
      <c r="O14" s="104">
        <v>0</v>
      </c>
      <c r="P14" s="104">
        <v>0</v>
      </c>
      <c r="Q14" s="105">
        <v>384</v>
      </c>
      <c r="R14" s="105">
        <v>384</v>
      </c>
      <c r="S14" s="104">
        <v>768</v>
      </c>
      <c r="T14" s="108">
        <v>2</v>
      </c>
      <c r="U14" s="108">
        <v>0</v>
      </c>
      <c r="V14" s="107">
        <v>0</v>
      </c>
      <c r="W14" s="109">
        <v>384</v>
      </c>
      <c r="X14" s="109">
        <v>384</v>
      </c>
      <c r="Y14" s="107">
        <v>768</v>
      </c>
      <c r="Z14" s="106">
        <v>2</v>
      </c>
      <c r="AA14" s="106">
        <v>0</v>
      </c>
      <c r="AB14" s="104">
        <v>0</v>
      </c>
      <c r="AC14" s="105">
        <v>384</v>
      </c>
      <c r="AD14" s="105">
        <v>384</v>
      </c>
      <c r="AE14" s="104">
        <v>768</v>
      </c>
      <c r="AF14" s="100">
        <v>2</v>
      </c>
      <c r="AG14" s="100">
        <v>0</v>
      </c>
      <c r="AH14" s="99">
        <v>0</v>
      </c>
      <c r="AI14" s="101">
        <v>384</v>
      </c>
      <c r="AJ14" s="101">
        <v>384</v>
      </c>
      <c r="AK14" s="99">
        <v>768</v>
      </c>
    </row>
    <row r="15" spans="1:37" hidden="1">
      <c r="A15" s="98" t="s">
        <v>15</v>
      </c>
      <c r="B15" s="110">
        <v>0</v>
      </c>
      <c r="C15" s="110"/>
      <c r="D15" s="110">
        <v>0</v>
      </c>
      <c r="E15" s="110">
        <v>0</v>
      </c>
      <c r="F15" s="110">
        <v>0</v>
      </c>
      <c r="G15" s="110">
        <v>0</v>
      </c>
      <c r="H15" s="102">
        <v>0</v>
      </c>
      <c r="I15" s="102">
        <v>0</v>
      </c>
      <c r="J15" s="102">
        <v>0</v>
      </c>
      <c r="K15" s="102">
        <v>0</v>
      </c>
      <c r="L15" s="102"/>
      <c r="M15" s="102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  <c r="T15" s="108">
        <v>0</v>
      </c>
      <c r="U15" s="108">
        <v>0</v>
      </c>
      <c r="V15" s="107">
        <v>0</v>
      </c>
      <c r="W15" s="107">
        <v>0</v>
      </c>
      <c r="X15" s="107">
        <v>0</v>
      </c>
      <c r="Y15" s="107">
        <v>0</v>
      </c>
      <c r="Z15" s="106">
        <v>0</v>
      </c>
      <c r="AA15" s="106">
        <v>0</v>
      </c>
      <c r="AB15" s="104">
        <v>0</v>
      </c>
      <c r="AC15" s="104">
        <v>0</v>
      </c>
      <c r="AD15" s="104">
        <v>0</v>
      </c>
      <c r="AE15" s="104">
        <v>0</v>
      </c>
      <c r="AF15" s="100">
        <v>0</v>
      </c>
      <c r="AG15" s="100">
        <v>0</v>
      </c>
      <c r="AH15" s="99">
        <v>0</v>
      </c>
      <c r="AI15" s="99">
        <v>0</v>
      </c>
      <c r="AJ15" s="99">
        <v>0</v>
      </c>
      <c r="AK15" s="99">
        <v>0</v>
      </c>
    </row>
    <row r="16" spans="1:37">
      <c r="A16" s="144" t="s">
        <v>273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02">
        <v>3</v>
      </c>
      <c r="I16" s="102">
        <v>0</v>
      </c>
      <c r="J16" s="102">
        <v>0</v>
      </c>
      <c r="K16" s="103">
        <v>0</v>
      </c>
      <c r="L16" s="103">
        <v>0</v>
      </c>
      <c r="M16" s="102">
        <v>0</v>
      </c>
      <c r="N16" s="104">
        <v>3</v>
      </c>
      <c r="O16" s="104">
        <v>0</v>
      </c>
      <c r="P16" s="104">
        <v>0</v>
      </c>
      <c r="Q16" s="104">
        <v>0</v>
      </c>
      <c r="R16" s="104">
        <v>0</v>
      </c>
      <c r="S16" s="106">
        <v>0</v>
      </c>
      <c r="T16" s="108">
        <v>3</v>
      </c>
      <c r="U16" s="108">
        <v>0</v>
      </c>
      <c r="V16" s="108">
        <v>0</v>
      </c>
      <c r="W16" s="108">
        <v>0</v>
      </c>
      <c r="X16" s="108">
        <v>0</v>
      </c>
      <c r="Y16" s="108">
        <v>0</v>
      </c>
      <c r="Z16" s="106">
        <v>3</v>
      </c>
      <c r="AA16" s="106">
        <v>0</v>
      </c>
      <c r="AB16" s="106">
        <v>0</v>
      </c>
      <c r="AC16" s="106">
        <v>0</v>
      </c>
      <c r="AD16" s="106">
        <v>0</v>
      </c>
      <c r="AE16" s="106">
        <v>0</v>
      </c>
      <c r="AF16" s="100">
        <v>3</v>
      </c>
      <c r="AG16" s="100">
        <v>0</v>
      </c>
      <c r="AH16" s="100">
        <v>0</v>
      </c>
      <c r="AI16" s="100">
        <v>0</v>
      </c>
      <c r="AJ16" s="100">
        <v>0</v>
      </c>
      <c r="AK16" s="100">
        <v>0</v>
      </c>
    </row>
    <row r="17" spans="1:37">
      <c r="A17" s="98" t="s">
        <v>16</v>
      </c>
      <c r="B17" s="110">
        <f>B9-B13-B14</f>
        <v>10</v>
      </c>
      <c r="C17" s="110">
        <f>C9-C13-C14</f>
        <v>100</v>
      </c>
      <c r="D17" s="110">
        <v>0</v>
      </c>
      <c r="E17" s="110">
        <f>E12-E13-E14</f>
        <v>405</v>
      </c>
      <c r="F17" s="110">
        <f>F12-F13-F14</f>
        <v>96</v>
      </c>
      <c r="G17" s="110">
        <f>G12-G13-G14</f>
        <v>192</v>
      </c>
      <c r="H17" s="102">
        <f>H9-H13-H14+H16</f>
        <v>10</v>
      </c>
      <c r="I17" s="102">
        <f>I9-I14-I13+I16</f>
        <v>100</v>
      </c>
      <c r="J17" s="102">
        <v>0</v>
      </c>
      <c r="K17" s="103">
        <f>K12-K13-K14+K9</f>
        <v>405</v>
      </c>
      <c r="L17" s="103">
        <f>L15+L9-I16</f>
        <v>96</v>
      </c>
      <c r="M17" s="102">
        <f>M12-M13-M14+M9</f>
        <v>192</v>
      </c>
      <c r="N17" s="104">
        <f>N9-N13-N14+N16</f>
        <v>10</v>
      </c>
      <c r="O17" s="104">
        <f>O9-O13-O14+O16</f>
        <v>100</v>
      </c>
      <c r="P17" s="104">
        <v>0</v>
      </c>
      <c r="Q17" s="104">
        <f>Q9+Q12-Q13-Q14</f>
        <v>405</v>
      </c>
      <c r="R17" s="104">
        <f>R9+R12-R13-R14</f>
        <v>96</v>
      </c>
      <c r="S17" s="106">
        <f>S9+S12-S13-S14</f>
        <v>192</v>
      </c>
      <c r="T17" s="108">
        <v>10</v>
      </c>
      <c r="U17" s="108">
        <v>100</v>
      </c>
      <c r="V17" s="108">
        <v>0</v>
      </c>
      <c r="W17" s="108">
        <f>W9+W12-W13-W14</f>
        <v>405</v>
      </c>
      <c r="X17" s="108">
        <f>X9+X12-X13-X14</f>
        <v>96</v>
      </c>
      <c r="Y17" s="108">
        <f>Y9+Y12-Y13-Y14</f>
        <v>192</v>
      </c>
      <c r="Z17" s="106">
        <v>10</v>
      </c>
      <c r="AA17" s="106">
        <v>100</v>
      </c>
      <c r="AB17" s="106">
        <v>0</v>
      </c>
      <c r="AC17" s="106">
        <f>AC9+AC12-AC13-AC14</f>
        <v>405</v>
      </c>
      <c r="AD17" s="106">
        <f>AD9+AD12-AD13-AD14</f>
        <v>96</v>
      </c>
      <c r="AE17" s="106">
        <f>AE9+AE12-AE13-AE14</f>
        <v>192</v>
      </c>
      <c r="AF17" s="100">
        <v>10</v>
      </c>
      <c r="AG17" s="100">
        <v>100</v>
      </c>
      <c r="AH17" s="100">
        <v>0</v>
      </c>
      <c r="AI17" s="100">
        <f>AI9+AI12-AI13-AI14</f>
        <v>405</v>
      </c>
      <c r="AJ17" s="100">
        <f>AJ9+AJ12-AJ13-AJ14</f>
        <v>96</v>
      </c>
      <c r="AK17" s="100">
        <f>AK9+AK12-AK13-AK14</f>
        <v>192</v>
      </c>
    </row>
    <row r="20" spans="1:37">
      <c r="A20" s="147" t="s">
        <v>245</v>
      </c>
      <c r="B20" s="340" t="s">
        <v>246</v>
      </c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</row>
    <row r="22" spans="1:37">
      <c r="H22" s="1"/>
      <c r="I22" s="1"/>
      <c r="L22" s="1"/>
    </row>
  </sheetData>
  <mergeCells count="58">
    <mergeCell ref="B20:AG20"/>
    <mergeCell ref="O7:O8"/>
    <mergeCell ref="R7:R8"/>
    <mergeCell ref="S7:S8"/>
    <mergeCell ref="T7:T8"/>
    <mergeCell ref="U7:U8"/>
    <mergeCell ref="AD7:AD8"/>
    <mergeCell ref="AE7:AE8"/>
    <mergeCell ref="V7:V8"/>
    <mergeCell ref="X7:X8"/>
    <mergeCell ref="Y7:Y8"/>
    <mergeCell ref="Z7:Z8"/>
    <mergeCell ref="AA7:AA8"/>
    <mergeCell ref="AB7:AB8"/>
    <mergeCell ref="AF5:AK5"/>
    <mergeCell ref="AF6:AG6"/>
    <mergeCell ref="AH6:AK6"/>
    <mergeCell ref="AF7:AF8"/>
    <mergeCell ref="AG7:AG8"/>
    <mergeCell ref="A4:A8"/>
    <mergeCell ref="N5:S5"/>
    <mergeCell ref="T5:Y5"/>
    <mergeCell ref="B7:B8"/>
    <mergeCell ref="C7:C8"/>
    <mergeCell ref="D7:D8"/>
    <mergeCell ref="G7:G8"/>
    <mergeCell ref="D6:G6"/>
    <mergeCell ref="J6:M6"/>
    <mergeCell ref="M7:M8"/>
    <mergeCell ref="L7:L8"/>
    <mergeCell ref="Z5:AE5"/>
    <mergeCell ref="B6:C6"/>
    <mergeCell ref="H6:I6"/>
    <mergeCell ref="N6:O6"/>
    <mergeCell ref="P6:S6"/>
    <mergeCell ref="T6:U6"/>
    <mergeCell ref="V6:Y6"/>
    <mergeCell ref="Z6:AA6"/>
    <mergeCell ref="AB6:AE6"/>
    <mergeCell ref="B5:G5"/>
    <mergeCell ref="H5:M5"/>
    <mergeCell ref="AC7:AC8"/>
    <mergeCell ref="B4:S4"/>
    <mergeCell ref="T4:AK4"/>
    <mergeCell ref="AH7:AH8"/>
    <mergeCell ref="AI7:AI8"/>
    <mergeCell ref="AJ7:AJ8"/>
    <mergeCell ref="AK7:AK8"/>
    <mergeCell ref="E7:E8"/>
    <mergeCell ref="K7:K8"/>
    <mergeCell ref="Q7:Q8"/>
    <mergeCell ref="W7:W8"/>
    <mergeCell ref="H7:H8"/>
    <mergeCell ref="N7:N8"/>
    <mergeCell ref="P7:P8"/>
    <mergeCell ref="F7:F8"/>
    <mergeCell ref="I7:I8"/>
    <mergeCell ref="J7:J8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selection activeCell="H6" sqref="H6"/>
    </sheetView>
  </sheetViews>
  <sheetFormatPr defaultRowHeight="14.5"/>
  <cols>
    <col min="1" max="1" width="9" customWidth="1"/>
    <col min="2" max="2" width="10.7265625" customWidth="1"/>
    <col min="3" max="3" width="10.54296875" customWidth="1"/>
    <col min="4" max="4" width="11.1796875" customWidth="1"/>
    <col min="5" max="5" width="9.26953125" customWidth="1"/>
    <col min="6" max="6" width="10.7265625" customWidth="1"/>
    <col min="7" max="7" width="10.1796875" customWidth="1"/>
    <col min="8" max="8" width="17.7265625" customWidth="1"/>
    <col min="9" max="11" width="10.54296875" customWidth="1"/>
    <col min="12" max="12" width="12.453125" customWidth="1"/>
    <col min="13" max="13" width="12.26953125" customWidth="1"/>
  </cols>
  <sheetData>
    <row r="1" spans="1:13">
      <c r="G1" t="s">
        <v>19</v>
      </c>
    </row>
    <row r="2" spans="1:13" ht="24" thickBot="1">
      <c r="A2" s="346" t="s">
        <v>20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23.5">
      <c r="A3" s="347" t="s">
        <v>21</v>
      </c>
      <c r="B3" s="345" t="s">
        <v>22</v>
      </c>
      <c r="C3" s="345"/>
      <c r="D3" s="345" t="s">
        <v>23</v>
      </c>
      <c r="E3" s="345"/>
      <c r="F3" s="345" t="s">
        <v>33</v>
      </c>
      <c r="G3" s="345"/>
      <c r="H3" s="345" t="s">
        <v>24</v>
      </c>
      <c r="I3" s="345"/>
      <c r="J3" s="345" t="s">
        <v>34</v>
      </c>
      <c r="K3" s="345"/>
      <c r="L3" s="345" t="s">
        <v>25</v>
      </c>
      <c r="M3" s="349"/>
    </row>
    <row r="4" spans="1:13" ht="69.75" customHeight="1">
      <c r="A4" s="348"/>
      <c r="B4" s="350" t="s">
        <v>124</v>
      </c>
      <c r="C4" s="343" t="s">
        <v>120</v>
      </c>
      <c r="D4" s="342" t="s">
        <v>119</v>
      </c>
      <c r="E4" s="343" t="s">
        <v>121</v>
      </c>
      <c r="F4" s="342" t="s">
        <v>122</v>
      </c>
      <c r="G4" s="343" t="s">
        <v>121</v>
      </c>
      <c r="H4" s="342" t="s">
        <v>122</v>
      </c>
      <c r="I4" s="343" t="s">
        <v>123</v>
      </c>
      <c r="J4" s="342" t="s">
        <v>122</v>
      </c>
      <c r="K4" s="343" t="s">
        <v>123</v>
      </c>
      <c r="L4" s="342" t="s">
        <v>122</v>
      </c>
      <c r="M4" s="344" t="s">
        <v>121</v>
      </c>
    </row>
    <row r="5" spans="1:13">
      <c r="A5" s="348"/>
      <c r="B5" s="350"/>
      <c r="C5" s="343"/>
      <c r="D5" s="342"/>
      <c r="E5" s="343"/>
      <c r="F5" s="342"/>
      <c r="G5" s="343"/>
      <c r="H5" s="342"/>
      <c r="I5" s="343"/>
      <c r="J5" s="342"/>
      <c r="K5" s="343"/>
      <c r="L5" s="342"/>
      <c r="M5" s="344"/>
    </row>
    <row r="6" spans="1:13" ht="27">
      <c r="A6" s="113" t="s">
        <v>26</v>
      </c>
      <c r="B6" s="111">
        <f>3.5*10*365/1000</f>
        <v>12.775</v>
      </c>
      <c r="C6" s="111">
        <v>0</v>
      </c>
      <c r="D6" s="111">
        <f>3*100*365/1000</f>
        <v>109.5</v>
      </c>
      <c r="E6" s="111">
        <v>0</v>
      </c>
      <c r="F6" s="111">
        <f>('Herd projection chart'!D12-'Herd projection chart'!E17)*0.25*60/1000</f>
        <v>12.15</v>
      </c>
      <c r="G6" s="111">
        <v>0</v>
      </c>
      <c r="H6" s="112">
        <f>('Herd projection chart'!F17)*9*30*1.8/1000</f>
        <v>46.655999999999999</v>
      </c>
      <c r="I6" s="111">
        <v>0</v>
      </c>
      <c r="J6" s="111">
        <f>('Herd projection chart'!G17)*1*9*30/1000</f>
        <v>51.84</v>
      </c>
      <c r="K6" s="111">
        <f>('Herd projection chart'!G17)*9*5*30/1000</f>
        <v>259.2</v>
      </c>
      <c r="L6" s="112">
        <f>B6+D6+F6+H6+J6</f>
        <v>232.92100000000002</v>
      </c>
      <c r="M6" s="114">
        <f t="shared" ref="L6:M11" si="0">C6+E6+G6+I6+K6</f>
        <v>259.2</v>
      </c>
    </row>
    <row r="7" spans="1:13" ht="27">
      <c r="A7" s="113" t="s">
        <v>27</v>
      </c>
      <c r="B7" s="111">
        <f>3.5*10*365/1000</f>
        <v>12.775</v>
      </c>
      <c r="C7" s="111">
        <v>0</v>
      </c>
      <c r="D7" s="111">
        <f>3*100*365/1000</f>
        <v>109.5</v>
      </c>
      <c r="E7" s="111">
        <v>0</v>
      </c>
      <c r="F7" s="111">
        <f>('Herd projection chart'!J12)*60*0.25/1000</f>
        <v>24.3</v>
      </c>
      <c r="G7" s="111">
        <v>0</v>
      </c>
      <c r="H7" s="111">
        <f>('Herd projection chart'!L9)*21*30*1.8/1000</f>
        <v>108.864</v>
      </c>
      <c r="I7" s="111">
        <v>0</v>
      </c>
      <c r="J7" s="111">
        <f>('Herd projection chart'!M9)*21*30*1/1000</f>
        <v>120.96</v>
      </c>
      <c r="K7" s="111">
        <f>('Herd projection chart'!S9)*21*30*5/1000</f>
        <v>604.79999999999995</v>
      </c>
      <c r="L7" s="111">
        <f t="shared" si="0"/>
        <v>376.399</v>
      </c>
      <c r="M7" s="114">
        <f t="shared" si="0"/>
        <v>604.79999999999995</v>
      </c>
    </row>
    <row r="8" spans="1:13" ht="27">
      <c r="A8" s="113" t="s">
        <v>28</v>
      </c>
      <c r="B8" s="111">
        <f>3.5*10*365/1000</f>
        <v>12.775</v>
      </c>
      <c r="C8" s="111">
        <v>0</v>
      </c>
      <c r="D8" s="111">
        <f>3*100*365/1000</f>
        <v>109.5</v>
      </c>
      <c r="E8" s="111">
        <v>0</v>
      </c>
      <c r="F8" s="111">
        <f>'Herd projection chart'!P12*0.25*60/1000</f>
        <v>24.3</v>
      </c>
      <c r="G8" s="111">
        <v>0</v>
      </c>
      <c r="H8" s="111">
        <f>('Herd projection chart'!X9)*21*30*1.8/1000</f>
        <v>108.864</v>
      </c>
      <c r="I8" s="111">
        <v>0</v>
      </c>
      <c r="J8" s="111">
        <f>('Herd projection chart'!S9)*21*30*1/1000</f>
        <v>120.96</v>
      </c>
      <c r="K8" s="111">
        <f>('Herd projection chart'!Y9)*21*30*5/1000</f>
        <v>604.79999999999995</v>
      </c>
      <c r="L8" s="111">
        <f t="shared" si="0"/>
        <v>376.399</v>
      </c>
      <c r="M8" s="114">
        <f t="shared" si="0"/>
        <v>604.79999999999995</v>
      </c>
    </row>
    <row r="9" spans="1:13" ht="27">
      <c r="A9" s="113" t="s">
        <v>29</v>
      </c>
      <c r="B9" s="111">
        <f>3.5*10*365/1000</f>
        <v>12.775</v>
      </c>
      <c r="C9" s="111">
        <v>0</v>
      </c>
      <c r="D9" s="111">
        <f>3*100*365/1000</f>
        <v>109.5</v>
      </c>
      <c r="E9" s="111">
        <v>0</v>
      </c>
      <c r="F9" s="111">
        <f>'Herd projection chart'!V12*0.25*60/1000</f>
        <v>24.3</v>
      </c>
      <c r="G9" s="111">
        <v>0</v>
      </c>
      <c r="H9" s="111">
        <f>('Herd projection chart'!X9)*21*30*1.8/1000</f>
        <v>108.864</v>
      </c>
      <c r="I9" s="111">
        <v>0</v>
      </c>
      <c r="J9" s="111">
        <f>('Herd projection chart'!Y9)*21*30*1/1000</f>
        <v>120.96</v>
      </c>
      <c r="K9" s="111">
        <f>('Herd projection chart'!Y9)*21*30*5/1000</f>
        <v>604.79999999999995</v>
      </c>
      <c r="L9" s="111">
        <f t="shared" si="0"/>
        <v>376.399</v>
      </c>
      <c r="M9" s="114">
        <f t="shared" si="0"/>
        <v>604.79999999999995</v>
      </c>
    </row>
    <row r="10" spans="1:13" ht="27">
      <c r="A10" s="113" t="s">
        <v>30</v>
      </c>
      <c r="B10" s="111">
        <f>3.5*10*365/1000</f>
        <v>12.775</v>
      </c>
      <c r="C10" s="111">
        <v>0</v>
      </c>
      <c r="D10" s="111">
        <f>3*100*365/1000</f>
        <v>109.5</v>
      </c>
      <c r="E10" s="111">
        <v>0</v>
      </c>
      <c r="F10" s="111">
        <f>'Herd projection chart'!AB12*0.25*60/1000</f>
        <v>24.3</v>
      </c>
      <c r="G10" s="111">
        <v>0</v>
      </c>
      <c r="H10" s="111">
        <f>('Herd projection chart'!AD9)*21*30*1.8/1000</f>
        <v>108.864</v>
      </c>
      <c r="I10" s="111">
        <v>0</v>
      </c>
      <c r="J10" s="111">
        <f>('Herd projection chart'!AE9)*21*30*1/1000</f>
        <v>120.96</v>
      </c>
      <c r="K10" s="111">
        <f>('Herd projection chart'!AE9)*21*30*5/1000</f>
        <v>604.79999999999995</v>
      </c>
      <c r="L10" s="111">
        <f t="shared" si="0"/>
        <v>376.399</v>
      </c>
      <c r="M10" s="114">
        <f t="shared" si="0"/>
        <v>604.79999999999995</v>
      </c>
    </row>
    <row r="11" spans="1:13" ht="27.5" thickBot="1">
      <c r="A11" s="115" t="s">
        <v>234</v>
      </c>
      <c r="B11" s="116">
        <f>('Herd projection chart'!AF17)*3.5*365/1000</f>
        <v>12.775</v>
      </c>
      <c r="C11" s="117">
        <v>0</v>
      </c>
      <c r="D11" s="116">
        <f>('Herd projection chart'!AG17)*3*365/1000</f>
        <v>109.5</v>
      </c>
      <c r="E11" s="117">
        <v>0</v>
      </c>
      <c r="F11" s="117">
        <f>'Herd projection chart'!AH12*0.25*60/1000</f>
        <v>24.3</v>
      </c>
      <c r="G11" s="117">
        <v>0</v>
      </c>
      <c r="H11" s="117">
        <f>('Herd projection chart'!AJ9)*21*30*1.8/1000</f>
        <v>108.864</v>
      </c>
      <c r="I11" s="117">
        <v>0</v>
      </c>
      <c r="J11" s="118">
        <f>('Herd projection chart'!AK9)*21*30*1/1000</f>
        <v>120.96</v>
      </c>
      <c r="K11" s="119">
        <f>('Herd projection chart'!AK9)*21*30*5/1000</f>
        <v>604.79999999999995</v>
      </c>
      <c r="L11" s="116">
        <f t="shared" si="0"/>
        <v>376.399</v>
      </c>
      <c r="M11" s="120">
        <f>C11+E11+G11+I11+K11</f>
        <v>604.79999999999995</v>
      </c>
    </row>
  </sheetData>
  <mergeCells count="20">
    <mergeCell ref="A2:M2"/>
    <mergeCell ref="A3:A5"/>
    <mergeCell ref="B3:C3"/>
    <mergeCell ref="D3:E3"/>
    <mergeCell ref="F3:G3"/>
    <mergeCell ref="H3:I3"/>
    <mergeCell ref="G4:G5"/>
    <mergeCell ref="I4:I5"/>
    <mergeCell ref="K4:K5"/>
    <mergeCell ref="L3:M3"/>
    <mergeCell ref="B4:B5"/>
    <mergeCell ref="D4:D5"/>
    <mergeCell ref="F4:F5"/>
    <mergeCell ref="H4:H5"/>
    <mergeCell ref="J4:J5"/>
    <mergeCell ref="L4:L5"/>
    <mergeCell ref="C4:C5"/>
    <mergeCell ref="E4:E5"/>
    <mergeCell ref="M4:M5"/>
    <mergeCell ref="J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sqref="A1:G7"/>
    </sheetView>
  </sheetViews>
  <sheetFormatPr defaultRowHeight="14.5"/>
  <cols>
    <col min="1" max="1" width="5.453125" customWidth="1"/>
    <col min="2" max="2" width="12.7265625" bestFit="1" customWidth="1"/>
    <col min="3" max="3" width="11.26953125" bestFit="1" customWidth="1"/>
    <col min="4" max="4" width="14.26953125" customWidth="1"/>
    <col min="5" max="5" width="11.1796875" customWidth="1"/>
    <col min="6" max="6" width="9.7265625" customWidth="1"/>
    <col min="7" max="7" width="19.81640625" customWidth="1"/>
  </cols>
  <sheetData>
    <row r="1" spans="1:7" ht="21.5" thickBot="1">
      <c r="D1" s="221" t="s">
        <v>338</v>
      </c>
      <c r="F1" s="220"/>
    </row>
    <row r="2" spans="1:7" ht="86.25" customHeight="1">
      <c r="A2" s="219" t="s">
        <v>69</v>
      </c>
      <c r="B2" s="213" t="s">
        <v>163</v>
      </c>
      <c r="C2" s="213" t="s">
        <v>165</v>
      </c>
      <c r="D2" s="214" t="s">
        <v>169</v>
      </c>
      <c r="E2" s="214" t="s">
        <v>166</v>
      </c>
      <c r="F2" s="214" t="s">
        <v>170</v>
      </c>
      <c r="G2" s="215" t="s">
        <v>337</v>
      </c>
    </row>
    <row r="3" spans="1:7" ht="21">
      <c r="A3" s="121">
        <v>1</v>
      </c>
      <c r="B3" s="216" t="s">
        <v>164</v>
      </c>
      <c r="C3" s="35">
        <v>110</v>
      </c>
      <c r="D3" s="35">
        <v>3</v>
      </c>
      <c r="E3" s="35">
        <v>365</v>
      </c>
      <c r="F3" s="35">
        <f>C3*D3*E3/1000</f>
        <v>120.45</v>
      </c>
      <c r="G3" s="217">
        <f>F3*1500</f>
        <v>180675</v>
      </c>
    </row>
    <row r="4" spans="1:7" ht="21">
      <c r="A4" s="121">
        <v>2</v>
      </c>
      <c r="B4" s="216" t="s">
        <v>14</v>
      </c>
      <c r="C4" s="35">
        <v>450</v>
      </c>
      <c r="D4" s="35">
        <v>0.5</v>
      </c>
      <c r="E4" s="35">
        <v>60</v>
      </c>
      <c r="F4" s="35">
        <f>C4*D4*E4/1000</f>
        <v>13.5</v>
      </c>
      <c r="G4" s="217">
        <f>F4*1500</f>
        <v>20250</v>
      </c>
    </row>
    <row r="5" spans="1:7" ht="21">
      <c r="A5" s="121">
        <v>3</v>
      </c>
      <c r="B5" s="216" t="s">
        <v>167</v>
      </c>
      <c r="C5" s="35">
        <v>450</v>
      </c>
      <c r="D5" s="35">
        <v>1</v>
      </c>
      <c r="E5" s="35">
        <v>180</v>
      </c>
      <c r="F5" s="35">
        <f>C5*D5*E5/1000</f>
        <v>81</v>
      </c>
      <c r="G5" s="217">
        <f>F5*1500</f>
        <v>121500</v>
      </c>
    </row>
    <row r="6" spans="1:7" ht="21">
      <c r="A6" s="121">
        <v>4</v>
      </c>
      <c r="B6" s="216" t="s">
        <v>168</v>
      </c>
      <c r="C6" s="35">
        <v>900</v>
      </c>
      <c r="D6" s="35">
        <v>1</v>
      </c>
      <c r="E6" s="35">
        <v>240</v>
      </c>
      <c r="F6" s="35">
        <f>C6*D6*E6/1000</f>
        <v>216</v>
      </c>
      <c r="G6" s="217">
        <f>F6*1500</f>
        <v>324000</v>
      </c>
    </row>
    <row r="7" spans="1:7" ht="21.5" thickBot="1">
      <c r="A7" s="122"/>
      <c r="B7" s="123"/>
      <c r="C7" s="123"/>
      <c r="D7" s="123"/>
      <c r="E7" s="123"/>
      <c r="F7" s="123"/>
      <c r="G7" s="218">
        <f>SUM(G3:G6)</f>
        <v>646425</v>
      </c>
    </row>
  </sheetData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50"/>
  <sheetViews>
    <sheetView topLeftCell="A41" zoomScale="120" zoomScaleNormal="120" workbookViewId="0">
      <selection activeCell="J50" sqref="J50"/>
    </sheetView>
  </sheetViews>
  <sheetFormatPr defaultRowHeight="14.5"/>
  <cols>
    <col min="1" max="1" width="7.7265625" customWidth="1"/>
    <col min="2" max="2" width="35.453125" customWidth="1"/>
    <col min="3" max="3" width="20.26953125" customWidth="1"/>
    <col min="4" max="4" width="16.54296875" customWidth="1"/>
    <col min="5" max="6" width="15.81640625" customWidth="1"/>
    <col min="7" max="7" width="17.453125" customWidth="1"/>
    <col min="8" max="8" width="18.26953125" customWidth="1"/>
    <col min="14" max="14" width="13.81640625" customWidth="1"/>
  </cols>
  <sheetData>
    <row r="1" spans="1:14" ht="18.5">
      <c r="C1" s="223" t="s">
        <v>118</v>
      </c>
    </row>
    <row r="2" spans="1:14" ht="18">
      <c r="A2" s="222" t="s">
        <v>69</v>
      </c>
      <c r="B2" s="351" t="s">
        <v>163</v>
      </c>
      <c r="C2" s="352"/>
      <c r="D2" s="222" t="s">
        <v>339</v>
      </c>
      <c r="E2" s="222" t="s">
        <v>340</v>
      </c>
      <c r="F2" s="222" t="s">
        <v>341</v>
      </c>
    </row>
    <row r="3" spans="1:14" ht="24" customHeight="1">
      <c r="A3" s="224">
        <v>1</v>
      </c>
      <c r="B3" s="353" t="s">
        <v>116</v>
      </c>
      <c r="C3" s="354"/>
      <c r="D3" s="224" t="s">
        <v>106</v>
      </c>
      <c r="E3" s="224" t="s">
        <v>106</v>
      </c>
      <c r="F3" s="224">
        <v>50000</v>
      </c>
    </row>
    <row r="4" spans="1:14" ht="24.75" customHeight="1">
      <c r="A4" s="224">
        <v>2</v>
      </c>
      <c r="B4" s="361" t="s">
        <v>342</v>
      </c>
      <c r="C4" s="361"/>
      <c r="D4" s="361"/>
      <c r="E4" s="361"/>
      <c r="F4" s="361"/>
    </row>
    <row r="5" spans="1:14" ht="22.5" customHeight="1">
      <c r="A5" s="225"/>
      <c r="B5" s="355" t="s">
        <v>344</v>
      </c>
      <c r="C5" s="356"/>
      <c r="D5" s="226">
        <f>'Feed expenditure'!L6</f>
        <v>232.92100000000002</v>
      </c>
      <c r="E5" s="227">
        <f>'Techno economic parameters'!C39</f>
        <v>25000</v>
      </c>
      <c r="F5" s="227">
        <f>D5*E5</f>
        <v>5823025.0000000009</v>
      </c>
    </row>
    <row r="6" spans="1:14" ht="21.75" customHeight="1">
      <c r="A6" s="225"/>
      <c r="B6" s="355" t="s">
        <v>345</v>
      </c>
      <c r="C6" s="356"/>
      <c r="D6" s="226">
        <f>'Feed expenditure'!M6</f>
        <v>259.2</v>
      </c>
      <c r="E6" s="227">
        <f>'Techno economic parameters'!C40</f>
        <v>2000</v>
      </c>
      <c r="F6" s="227">
        <f>D6*E6</f>
        <v>518400</v>
      </c>
    </row>
    <row r="7" spans="1:14" ht="23.25" customHeight="1">
      <c r="A7" s="224">
        <v>3</v>
      </c>
      <c r="B7" s="353" t="s">
        <v>346</v>
      </c>
      <c r="C7" s="354"/>
      <c r="D7" s="226">
        <f>'Techno economic parameters'!C53</f>
        <v>5</v>
      </c>
      <c r="E7" s="227">
        <f>'Techno economic parameters'!C54*12</f>
        <v>288000</v>
      </c>
      <c r="F7" s="227">
        <f>D7*E7</f>
        <v>1440000</v>
      </c>
      <c r="L7">
        <f>21.5*25000</f>
        <v>537500</v>
      </c>
      <c r="M7">
        <v>3011250</v>
      </c>
      <c r="N7">
        <f>SUM(L7:M7)</f>
        <v>3548750</v>
      </c>
    </row>
    <row r="8" spans="1:14" ht="21" customHeight="1">
      <c r="A8" s="224">
        <v>4</v>
      </c>
      <c r="B8" s="353" t="s">
        <v>117</v>
      </c>
      <c r="C8" s="354"/>
      <c r="D8" s="224"/>
      <c r="E8" s="224"/>
      <c r="F8" s="183"/>
    </row>
    <row r="9" spans="1:14" ht="19.5" customHeight="1">
      <c r="A9" s="225"/>
      <c r="B9" s="355" t="s">
        <v>347</v>
      </c>
      <c r="C9" s="356"/>
      <c r="D9" s="226">
        <v>110</v>
      </c>
      <c r="E9" s="226">
        <v>200</v>
      </c>
      <c r="F9" s="227">
        <f>D9*E9</f>
        <v>22000</v>
      </c>
    </row>
    <row r="10" spans="1:14" ht="24" customHeight="1">
      <c r="A10" s="225"/>
      <c r="B10" s="355" t="s">
        <v>348</v>
      </c>
      <c r="C10" s="356"/>
      <c r="D10" s="226">
        <v>1800</v>
      </c>
      <c r="E10" s="226">
        <v>200</v>
      </c>
      <c r="F10" s="227">
        <f>D10*E10</f>
        <v>360000</v>
      </c>
    </row>
    <row r="11" spans="1:14" ht="22.5" customHeight="1">
      <c r="A11" s="224">
        <v>5</v>
      </c>
      <c r="B11" s="353" t="s">
        <v>349</v>
      </c>
      <c r="C11" s="354"/>
      <c r="D11" s="226">
        <v>110</v>
      </c>
      <c r="E11" s="226">
        <v>1000</v>
      </c>
      <c r="F11" s="227">
        <f>D11*E11</f>
        <v>110000</v>
      </c>
    </row>
    <row r="12" spans="1:14" ht="22.5" customHeight="1" thickBot="1">
      <c r="A12" s="224">
        <v>6</v>
      </c>
      <c r="B12" s="372" t="s">
        <v>254</v>
      </c>
      <c r="C12" s="373"/>
      <c r="D12" s="271"/>
      <c r="E12" s="272"/>
      <c r="F12" s="227">
        <f>'Depreciation '!D5</f>
        <v>644000</v>
      </c>
    </row>
    <row r="13" spans="1:14" ht="22.5" customHeight="1" thickBot="1">
      <c r="A13" s="224">
        <v>7</v>
      </c>
      <c r="B13" s="374" t="s">
        <v>357</v>
      </c>
      <c r="C13" s="375"/>
      <c r="D13" s="271"/>
      <c r="E13" s="272"/>
      <c r="F13" s="227">
        <f>'Depreciation '!J5</f>
        <v>46750</v>
      </c>
    </row>
    <row r="14" spans="1:14" ht="24" customHeight="1">
      <c r="A14" s="33"/>
      <c r="B14" s="357" t="s">
        <v>118</v>
      </c>
      <c r="C14" s="358"/>
      <c r="D14" s="358"/>
      <c r="E14" s="359"/>
      <c r="F14" s="273">
        <f>SUM(F3:F13)</f>
        <v>9014175</v>
      </c>
    </row>
    <row r="17" spans="1:9" ht="18.5" thickBot="1">
      <c r="A17" s="371" t="s">
        <v>126</v>
      </c>
      <c r="B17" s="371"/>
      <c r="C17" s="371"/>
      <c r="D17" s="371"/>
      <c r="E17" s="371"/>
      <c r="F17" s="371"/>
      <c r="G17" s="371"/>
    </row>
    <row r="18" spans="1:9" ht="18" thickBot="1">
      <c r="A18" s="369" t="s">
        <v>127</v>
      </c>
      <c r="B18" s="369" t="s">
        <v>0</v>
      </c>
      <c r="C18" s="362" t="s">
        <v>128</v>
      </c>
      <c r="D18" s="363"/>
      <c r="E18" s="363"/>
      <c r="F18" s="363"/>
      <c r="G18" s="363"/>
      <c r="H18" s="174"/>
    </row>
    <row r="19" spans="1:9" ht="20.5" thickBot="1">
      <c r="A19" s="370"/>
      <c r="B19" s="370"/>
      <c r="C19" s="25" t="s">
        <v>129</v>
      </c>
      <c r="D19" s="25" t="s">
        <v>130</v>
      </c>
      <c r="E19" s="25" t="s">
        <v>131</v>
      </c>
      <c r="F19" s="25" t="s">
        <v>4</v>
      </c>
      <c r="G19" s="167" t="s">
        <v>132</v>
      </c>
      <c r="H19" s="169" t="s">
        <v>233</v>
      </c>
    </row>
    <row r="20" spans="1:9" ht="17.25" customHeight="1" thickBot="1">
      <c r="A20" s="31">
        <v>1</v>
      </c>
      <c r="B20" s="25">
        <v>2</v>
      </c>
      <c r="C20" s="25">
        <v>3</v>
      </c>
      <c r="D20" s="25">
        <v>4</v>
      </c>
      <c r="E20" s="25">
        <v>5</v>
      </c>
      <c r="F20" s="25">
        <v>6</v>
      </c>
      <c r="G20" s="167">
        <v>7</v>
      </c>
      <c r="H20" s="170">
        <v>8</v>
      </c>
    </row>
    <row r="21" spans="1:9" ht="18" customHeight="1" thickBot="1">
      <c r="A21" s="31" t="s">
        <v>133</v>
      </c>
      <c r="B21" s="362" t="s">
        <v>134</v>
      </c>
      <c r="C21" s="363"/>
      <c r="D21" s="363"/>
      <c r="E21" s="363"/>
      <c r="F21" s="363"/>
      <c r="G21" s="363"/>
      <c r="H21" s="171"/>
      <c r="I21" s="96"/>
    </row>
    <row r="22" spans="1:9" ht="21" customHeight="1" thickBot="1">
      <c r="A22" s="31">
        <v>1</v>
      </c>
      <c r="B22" s="229" t="s">
        <v>135</v>
      </c>
      <c r="C22" s="163">
        <f>Investment!F27</f>
        <v>10500000</v>
      </c>
      <c r="D22" s="229">
        <v>0</v>
      </c>
      <c r="E22" s="229">
        <v>0</v>
      </c>
      <c r="F22" s="229">
        <v>0</v>
      </c>
      <c r="G22" s="230">
        <v>0</v>
      </c>
      <c r="H22" s="231">
        <v>0</v>
      </c>
    </row>
    <row r="23" spans="1:9" ht="18.75" customHeight="1" thickBot="1">
      <c r="A23" s="228">
        <v>2</v>
      </c>
      <c r="B23" s="366" t="s">
        <v>136</v>
      </c>
      <c r="C23" s="367"/>
      <c r="D23" s="367"/>
      <c r="E23" s="367"/>
      <c r="F23" s="367"/>
      <c r="G23" s="367"/>
      <c r="H23" s="368"/>
    </row>
    <row r="24" spans="1:9" ht="22.5" customHeight="1" thickBot="1">
      <c r="A24" s="31" t="s">
        <v>133</v>
      </c>
      <c r="B24" s="25" t="s">
        <v>137</v>
      </c>
      <c r="C24" s="24">
        <f>'Feed expenditure'!L6*E5</f>
        <v>5823025.0000000009</v>
      </c>
      <c r="D24" s="24">
        <f>'Feed expenditure'!L7*E5</f>
        <v>9409975</v>
      </c>
      <c r="E24" s="24">
        <f>'Feed expenditure'!L8*E5</f>
        <v>9409975</v>
      </c>
      <c r="F24" s="24">
        <f>'Feed expenditure'!L9*E5</f>
        <v>9409975</v>
      </c>
      <c r="G24" s="168">
        <f>'Feed expenditure'!L10*E5</f>
        <v>9409975</v>
      </c>
      <c r="H24" s="232">
        <f>'Feed expenditure'!L11*'Techno economic parameters'!C39</f>
        <v>9409975</v>
      </c>
    </row>
    <row r="25" spans="1:9" ht="18" customHeight="1" thickBot="1">
      <c r="A25" s="31" t="s">
        <v>8</v>
      </c>
      <c r="B25" s="25" t="s">
        <v>343</v>
      </c>
      <c r="C25" s="24">
        <f>'Feed expenditure'!M6*'Techno economic parameters'!C40</f>
        <v>518400</v>
      </c>
      <c r="D25" s="24">
        <f>'Feed expenditure'!M7*'Techno economic parameters'!C40</f>
        <v>1209600</v>
      </c>
      <c r="E25" s="24">
        <f>'Feed expenditure'!M8*'Techno economic parameters'!C40</f>
        <v>1209600</v>
      </c>
      <c r="F25" s="24">
        <f>'Feed expenditure'!M9*'Techno economic parameters'!C40</f>
        <v>1209600</v>
      </c>
      <c r="G25" s="168">
        <f>'Feed expenditure'!M11*'Techno economic parameters'!C40</f>
        <v>1209600</v>
      </c>
      <c r="H25" s="172">
        <f>'Feed expenditure'!M11*'Techno economic parameters'!C40</f>
        <v>1209600</v>
      </c>
    </row>
    <row r="26" spans="1:9" ht="20.25" customHeight="1" thickBot="1">
      <c r="A26" s="31" t="s">
        <v>138</v>
      </c>
      <c r="B26" s="25" t="s">
        <v>139</v>
      </c>
      <c r="C26" s="24">
        <f>F9+F10</f>
        <v>382000</v>
      </c>
      <c r="D26" s="24">
        <f>110*200+1800*200</f>
        <v>382000</v>
      </c>
      <c r="E26" s="24">
        <f>110*200+1800*200</f>
        <v>382000</v>
      </c>
      <c r="F26" s="24">
        <f>110*200+1800*200</f>
        <v>382000</v>
      </c>
      <c r="G26" s="168">
        <f>110*200+1800*200</f>
        <v>382000</v>
      </c>
      <c r="H26" s="173">
        <f>1910*200</f>
        <v>382000</v>
      </c>
    </row>
    <row r="27" spans="1:9" ht="21" customHeight="1" thickBot="1">
      <c r="A27" s="31" t="s">
        <v>140</v>
      </c>
      <c r="B27" s="25" t="s">
        <v>141</v>
      </c>
      <c r="C27" s="24">
        <f>Investment!F25</f>
        <v>110000</v>
      </c>
      <c r="D27" s="24">
        <f>Investment!F25</f>
        <v>110000</v>
      </c>
      <c r="E27" s="24">
        <f>Investment!F25</f>
        <v>110000</v>
      </c>
      <c r="F27" s="24">
        <f>Investment!F25</f>
        <v>110000</v>
      </c>
      <c r="G27" s="168">
        <f>Investment!F25</f>
        <v>110000</v>
      </c>
      <c r="H27" s="184">
        <f>Investment!F25</f>
        <v>110000</v>
      </c>
    </row>
    <row r="28" spans="1:9" ht="22.5" customHeight="1" thickBot="1">
      <c r="A28" s="31" t="s">
        <v>142</v>
      </c>
      <c r="B28" s="25" t="s">
        <v>109</v>
      </c>
      <c r="C28" s="24">
        <v>0</v>
      </c>
      <c r="D28" s="24">
        <f>Investment!F24</f>
        <v>200250</v>
      </c>
      <c r="E28" s="24">
        <f>Investment!F24</f>
        <v>200250</v>
      </c>
      <c r="F28" s="24">
        <f>Investment!F24</f>
        <v>200250</v>
      </c>
      <c r="G28" s="168">
        <f>Investment!F24</f>
        <v>200250</v>
      </c>
      <c r="H28" s="184">
        <f>Investment!F24</f>
        <v>200250</v>
      </c>
    </row>
    <row r="29" spans="1:9" ht="21.75" customHeight="1" thickBot="1">
      <c r="A29" s="31" t="s">
        <v>143</v>
      </c>
      <c r="B29" s="25" t="s">
        <v>144</v>
      </c>
      <c r="C29" s="24">
        <f>'Cost Benefit Analysis'!F7</f>
        <v>1440000</v>
      </c>
      <c r="D29" s="24">
        <f>F7</f>
        <v>1440000</v>
      </c>
      <c r="E29" s="24">
        <f>F7</f>
        <v>1440000</v>
      </c>
      <c r="F29" s="24">
        <f>F7</f>
        <v>1440000</v>
      </c>
      <c r="G29" s="168">
        <f>F7</f>
        <v>1440000</v>
      </c>
      <c r="H29" s="184">
        <f>F7</f>
        <v>1440000</v>
      </c>
    </row>
    <row r="30" spans="1:9" ht="19.5" customHeight="1" thickBot="1">
      <c r="A30" s="31" t="s">
        <v>145</v>
      </c>
      <c r="B30" s="25" t="s">
        <v>146</v>
      </c>
      <c r="C30" s="24">
        <v>0</v>
      </c>
      <c r="D30" s="24">
        <v>0</v>
      </c>
      <c r="E30" s="24">
        <f>'Techno economic parameters'!C43*3</f>
        <v>81000</v>
      </c>
      <c r="F30" s="24">
        <f>'Techno economic parameters'!C43*3</f>
        <v>81000</v>
      </c>
      <c r="G30" s="168">
        <f>'Techno economic parameters'!C43*3</f>
        <v>81000</v>
      </c>
      <c r="H30" s="182">
        <f>'Techno economic parameters'!C43*3</f>
        <v>81000</v>
      </c>
    </row>
    <row r="31" spans="1:9" ht="24" customHeight="1" thickBot="1">
      <c r="A31" s="31" t="s">
        <v>147</v>
      </c>
      <c r="B31" s="25" t="s">
        <v>148</v>
      </c>
      <c r="C31" s="24">
        <v>50000</v>
      </c>
      <c r="D31" s="24">
        <v>50000</v>
      </c>
      <c r="E31" s="24">
        <v>50000</v>
      </c>
      <c r="F31" s="24">
        <v>50000</v>
      </c>
      <c r="G31" s="168">
        <v>50000</v>
      </c>
      <c r="H31" s="183">
        <v>50000</v>
      </c>
    </row>
    <row r="32" spans="1:9" ht="24" customHeight="1" thickBot="1">
      <c r="A32" s="145" t="s">
        <v>253</v>
      </c>
      <c r="B32" s="25" t="s">
        <v>150</v>
      </c>
      <c r="C32" s="24">
        <v>0</v>
      </c>
      <c r="D32" s="24">
        <v>0</v>
      </c>
      <c r="E32" s="24">
        <v>24000</v>
      </c>
      <c r="F32" s="24">
        <v>24000</v>
      </c>
      <c r="G32" s="24">
        <v>24000</v>
      </c>
      <c r="H32" s="163">
        <v>24000</v>
      </c>
    </row>
    <row r="33" spans="1:8" ht="34.5" customHeight="1" thickBot="1">
      <c r="A33" s="145" t="s">
        <v>149</v>
      </c>
      <c r="B33" s="25" t="s">
        <v>254</v>
      </c>
      <c r="C33" s="24">
        <f>'Depreciation '!D5</f>
        <v>644000</v>
      </c>
      <c r="D33" s="24">
        <f>'Depreciation '!D6</f>
        <v>579600</v>
      </c>
      <c r="E33" s="24">
        <f>'Depreciation '!D7</f>
        <v>521640</v>
      </c>
      <c r="F33" s="24">
        <f>'Depreciation '!D8</f>
        <v>469476</v>
      </c>
      <c r="G33" s="168">
        <f>'Depreciation '!D9</f>
        <v>422528.4</v>
      </c>
      <c r="H33" s="177">
        <f>'Depreciation '!D10</f>
        <v>380275.56000000006</v>
      </c>
    </row>
    <row r="34" spans="1:8" ht="34.5" customHeight="1" thickBot="1">
      <c r="A34" s="228" t="s">
        <v>321</v>
      </c>
      <c r="B34" s="25" t="s">
        <v>357</v>
      </c>
      <c r="C34" s="24">
        <f>'Depreciation '!J5</f>
        <v>46750</v>
      </c>
      <c r="D34" s="24">
        <f>'Depreciation '!J6</f>
        <v>44412.5</v>
      </c>
      <c r="E34" s="24">
        <f>'Depreciation '!J7</f>
        <v>42191.875</v>
      </c>
      <c r="F34" s="24">
        <f>'Depreciation '!J8</f>
        <v>40082.28125</v>
      </c>
      <c r="G34" s="168">
        <f>'Depreciation '!J9</f>
        <v>38078.167187500003</v>
      </c>
      <c r="H34" s="177">
        <f>'Depreciation '!J10</f>
        <v>36174.258828124999</v>
      </c>
    </row>
    <row r="35" spans="1:8" ht="24" customHeight="1" thickBot="1">
      <c r="A35" s="364" t="s">
        <v>276</v>
      </c>
      <c r="B35" s="365"/>
      <c r="C35" s="233">
        <f t="shared" ref="C35:H35" si="0">SUM(C24:C34)</f>
        <v>9014175</v>
      </c>
      <c r="D35" s="233">
        <f t="shared" si="0"/>
        <v>13425837.5</v>
      </c>
      <c r="E35" s="233">
        <f t="shared" si="0"/>
        <v>13470656.875</v>
      </c>
      <c r="F35" s="233">
        <f t="shared" si="0"/>
        <v>13416383.28125</v>
      </c>
      <c r="G35" s="234">
        <f t="shared" si="0"/>
        <v>13367431.567187501</v>
      </c>
      <c r="H35" s="235">
        <f t="shared" si="0"/>
        <v>13323274.818828126</v>
      </c>
    </row>
    <row r="36" spans="1:8" ht="19" thickBot="1">
      <c r="A36" s="32"/>
      <c r="B36" s="30"/>
      <c r="C36" s="30"/>
      <c r="D36" s="30"/>
      <c r="E36" s="30"/>
      <c r="F36" s="30"/>
      <c r="G36" s="30"/>
    </row>
    <row r="37" spans="1:8" ht="28.5" customHeight="1" thickBot="1">
      <c r="A37" s="148"/>
      <c r="B37" s="153"/>
      <c r="C37" s="154" t="s">
        <v>158</v>
      </c>
      <c r="D37" s="154" t="s">
        <v>159</v>
      </c>
      <c r="E37" s="154" t="s">
        <v>160</v>
      </c>
      <c r="F37" s="154" t="s">
        <v>161</v>
      </c>
      <c r="G37" s="154" t="s">
        <v>162</v>
      </c>
      <c r="H37" s="162" t="s">
        <v>247</v>
      </c>
    </row>
    <row r="38" spans="1:8" ht="24" customHeight="1" thickBot="1">
      <c r="A38" s="149" t="s">
        <v>8</v>
      </c>
      <c r="B38" s="159" t="s">
        <v>151</v>
      </c>
      <c r="C38" s="160"/>
      <c r="D38" s="160"/>
      <c r="E38" s="160"/>
      <c r="F38" s="160"/>
      <c r="G38" s="161"/>
      <c r="H38" s="155"/>
    </row>
    <row r="39" spans="1:8" ht="19.5" customHeight="1" thickBot="1">
      <c r="A39" s="238">
        <v>1</v>
      </c>
      <c r="B39" s="156" t="s">
        <v>152</v>
      </c>
      <c r="C39" s="152">
        <f>'Herd projection chart'!E14*'Techno economic parameters'!C47</f>
        <v>768000</v>
      </c>
      <c r="D39" s="152">
        <f>'Herd projection chart'!K14*'Techno economic parameters'!C47</f>
        <v>1536000</v>
      </c>
      <c r="E39" s="152">
        <f>'Herd projection chart'!Q14*'Techno economic parameters'!C47</f>
        <v>1536000</v>
      </c>
      <c r="F39" s="152">
        <f>'Herd projection chart'!W14*'Techno economic parameters'!C47</f>
        <v>1536000</v>
      </c>
      <c r="G39" s="152">
        <f>'Herd projection chart'!AC14*'Techno economic parameters'!C47</f>
        <v>1536000</v>
      </c>
      <c r="H39" s="236">
        <f>'Herd projection chart'!AI14*'Techno economic parameters'!C47</f>
        <v>1536000</v>
      </c>
    </row>
    <row r="40" spans="1:8" ht="24" customHeight="1" thickBot="1">
      <c r="A40" s="239">
        <v>2</v>
      </c>
      <c r="B40" s="156" t="s">
        <v>153</v>
      </c>
      <c r="C40" s="152">
        <f>'Herd projection chart'!F14*'Techno economic parameters'!C45</f>
        <v>2208000</v>
      </c>
      <c r="D40" s="152">
        <f>'Herd projection chart'!L14*'Techno economic parameters'!C45</f>
        <v>8832000</v>
      </c>
      <c r="E40" s="152">
        <f>'Herd projection chart'!R14*'Techno economic parameters'!C45</f>
        <v>8832000</v>
      </c>
      <c r="F40" s="152">
        <f>'Herd projection chart'!X14*'Techno economic parameters'!C45</f>
        <v>8832000</v>
      </c>
      <c r="G40" s="152">
        <f>'Herd projection chart'!AD14*'Techno economic parameters'!C45</f>
        <v>8832000</v>
      </c>
      <c r="H40" s="236">
        <f>'Herd projection chart'!AJ14*'Techno economic parameters'!C45</f>
        <v>8832000</v>
      </c>
    </row>
    <row r="41" spans="1:8" ht="23.25" customHeight="1" thickBot="1">
      <c r="A41" s="238">
        <v>3</v>
      </c>
      <c r="B41" s="156" t="s">
        <v>172</v>
      </c>
      <c r="C41" s="152">
        <f>'Herd projection chart'!G14*'Techno economic parameters'!C48</f>
        <v>3840000</v>
      </c>
      <c r="D41" s="152">
        <f>'Herd projection chart'!M14*'Techno economic parameters'!C48</f>
        <v>15360000</v>
      </c>
      <c r="E41" s="152">
        <f>'Herd projection chart'!S14*'Techno economic parameters'!C48</f>
        <v>15360000</v>
      </c>
      <c r="F41" s="152">
        <f>'Herd projection chart'!Y14*'Techno economic parameters'!C48</f>
        <v>15360000</v>
      </c>
      <c r="G41" s="152">
        <f>'Herd projection chart'!AE14*'Techno economic parameters'!C48</f>
        <v>15360000</v>
      </c>
      <c r="H41" s="236">
        <f>'Herd projection chart'!AK14*'Techno economic parameters'!C48</f>
        <v>15360000</v>
      </c>
    </row>
    <row r="42" spans="1:8" ht="21" customHeight="1" thickBot="1">
      <c r="A42" s="239">
        <v>4</v>
      </c>
      <c r="B42" s="156" t="s">
        <v>154</v>
      </c>
      <c r="C42" s="152">
        <f>'manure '!G3</f>
        <v>180675</v>
      </c>
      <c r="D42" s="152">
        <f>'manure '!G7</f>
        <v>646425</v>
      </c>
      <c r="E42" s="152">
        <f>'manure '!G7</f>
        <v>646425</v>
      </c>
      <c r="F42" s="152">
        <f>'manure '!G7</f>
        <v>646425</v>
      </c>
      <c r="G42" s="152">
        <f>'manure '!G7</f>
        <v>646425</v>
      </c>
      <c r="H42" s="236">
        <f>'manure '!G7</f>
        <v>646425</v>
      </c>
    </row>
    <row r="43" spans="1:8" ht="21.75" customHeight="1" thickBot="1">
      <c r="A43" s="238">
        <v>5</v>
      </c>
      <c r="B43" s="156" t="s">
        <v>155</v>
      </c>
      <c r="C43" s="152">
        <v>0</v>
      </c>
      <c r="D43" s="152">
        <f>27000*3</f>
        <v>81000</v>
      </c>
      <c r="E43" s="152">
        <f t="shared" ref="E43:H43" si="1">27000*3</f>
        <v>81000</v>
      </c>
      <c r="F43" s="152">
        <f t="shared" si="1"/>
        <v>81000</v>
      </c>
      <c r="G43" s="152">
        <f t="shared" si="1"/>
        <v>81000</v>
      </c>
      <c r="H43" s="237">
        <f t="shared" si="1"/>
        <v>81000</v>
      </c>
    </row>
    <row r="44" spans="1:8" ht="22.5" customHeight="1" thickBot="1">
      <c r="A44" s="239">
        <v>6</v>
      </c>
      <c r="B44" s="156" t="s">
        <v>171</v>
      </c>
      <c r="C44" s="152">
        <v>0</v>
      </c>
      <c r="D44" s="152">
        <v>0</v>
      </c>
      <c r="E44" s="152">
        <v>0</v>
      </c>
      <c r="F44" s="152">
        <v>0</v>
      </c>
      <c r="G44" s="152">
        <v>0</v>
      </c>
      <c r="H44" s="237">
        <v>0</v>
      </c>
    </row>
    <row r="45" spans="1:8" ht="48.75" customHeight="1" thickBot="1">
      <c r="A45" s="238">
        <v>7</v>
      </c>
      <c r="B45" s="274" t="s">
        <v>358</v>
      </c>
      <c r="C45" s="152">
        <v>0</v>
      </c>
      <c r="D45" s="152">
        <v>0</v>
      </c>
      <c r="E45" s="152">
        <v>0</v>
      </c>
      <c r="F45" s="152">
        <v>0</v>
      </c>
      <c r="G45" s="152">
        <v>0</v>
      </c>
      <c r="H45" s="237">
        <f>'Depreciation '!E10</f>
        <v>3422480.04</v>
      </c>
    </row>
    <row r="46" spans="1:8" ht="41.25" customHeight="1" thickBot="1">
      <c r="A46" s="238">
        <v>8</v>
      </c>
      <c r="B46" s="274" t="s">
        <v>359</v>
      </c>
      <c r="C46" s="152">
        <v>0</v>
      </c>
      <c r="D46" s="152">
        <v>0</v>
      </c>
      <c r="E46" s="152">
        <v>0</v>
      </c>
      <c r="F46" s="152">
        <v>0</v>
      </c>
      <c r="G46" s="152">
        <v>0</v>
      </c>
      <c r="H46" s="237">
        <f>'Depreciation '!K10</f>
        <v>687310.91773437499</v>
      </c>
    </row>
    <row r="47" spans="1:8" ht="20.25" customHeight="1" thickBot="1">
      <c r="A47" s="239">
        <v>9</v>
      </c>
      <c r="B47" s="156" t="s">
        <v>241</v>
      </c>
      <c r="C47" s="152">
        <v>0</v>
      </c>
      <c r="D47" s="152">
        <v>0</v>
      </c>
      <c r="E47" s="152">
        <v>0</v>
      </c>
      <c r="F47" s="152">
        <v>0</v>
      </c>
      <c r="G47" s="152">
        <v>0</v>
      </c>
      <c r="H47" s="237">
        <f>'Depreciation '!E19</f>
        <v>9766000</v>
      </c>
    </row>
    <row r="48" spans="1:8" ht="20.25" customHeight="1" thickBot="1">
      <c r="A48" s="150"/>
      <c r="B48" s="157" t="s">
        <v>156</v>
      </c>
      <c r="C48" s="240">
        <f t="shared" ref="C48:H48" si="2">SUM(C39:C47)</f>
        <v>6996675</v>
      </c>
      <c r="D48" s="240">
        <f t="shared" si="2"/>
        <v>26455425</v>
      </c>
      <c r="E48" s="240">
        <f t="shared" si="2"/>
        <v>26455425</v>
      </c>
      <c r="F48" s="240">
        <f t="shared" si="2"/>
        <v>26455425</v>
      </c>
      <c r="G48" s="240">
        <f t="shared" si="2"/>
        <v>26455425</v>
      </c>
      <c r="H48" s="241">
        <f t="shared" si="2"/>
        <v>40331215.957734376</v>
      </c>
    </row>
    <row r="49" spans="1:8" ht="21.75" customHeight="1">
      <c r="A49" s="267"/>
      <c r="B49" s="268" t="s">
        <v>157</v>
      </c>
      <c r="C49" s="152">
        <f t="shared" ref="C49:H49" si="3">C35</f>
        <v>9014175</v>
      </c>
      <c r="D49" s="152">
        <f t="shared" si="3"/>
        <v>13425837.5</v>
      </c>
      <c r="E49" s="152">
        <f t="shared" si="3"/>
        <v>13470656.875</v>
      </c>
      <c r="F49" s="152">
        <f t="shared" si="3"/>
        <v>13416383.28125</v>
      </c>
      <c r="G49" s="152">
        <f t="shared" si="3"/>
        <v>13367431.567187501</v>
      </c>
      <c r="H49" s="266">
        <f t="shared" si="3"/>
        <v>13323274.818828126</v>
      </c>
    </row>
    <row r="50" spans="1:8" ht="40.5" customHeight="1" thickBot="1">
      <c r="A50" s="360" t="s">
        <v>350</v>
      </c>
      <c r="B50" s="360"/>
      <c r="C50" s="158">
        <f t="shared" ref="C50:H50" si="4">C48-C49</f>
        <v>-2017500</v>
      </c>
      <c r="D50" s="158">
        <f t="shared" si="4"/>
        <v>13029587.5</v>
      </c>
      <c r="E50" s="158">
        <f t="shared" si="4"/>
        <v>12984768.125</v>
      </c>
      <c r="F50" s="158">
        <f t="shared" si="4"/>
        <v>13039041.71875</v>
      </c>
      <c r="G50" s="158">
        <f t="shared" si="4"/>
        <v>13087993.432812499</v>
      </c>
      <c r="H50" s="242">
        <f t="shared" si="4"/>
        <v>27007941.138906248</v>
      </c>
    </row>
  </sheetData>
  <mergeCells count="21">
    <mergeCell ref="B14:E14"/>
    <mergeCell ref="A50:B50"/>
    <mergeCell ref="B4:F4"/>
    <mergeCell ref="B5:C5"/>
    <mergeCell ref="B6:C6"/>
    <mergeCell ref="B7:C7"/>
    <mergeCell ref="B8:C8"/>
    <mergeCell ref="B21:G21"/>
    <mergeCell ref="A35:B35"/>
    <mergeCell ref="B23:H23"/>
    <mergeCell ref="B18:B19"/>
    <mergeCell ref="A17:G17"/>
    <mergeCell ref="A18:A19"/>
    <mergeCell ref="C18:G18"/>
    <mergeCell ref="B12:C12"/>
    <mergeCell ref="B13:C13"/>
    <mergeCell ref="B2:C2"/>
    <mergeCell ref="B3:C3"/>
    <mergeCell ref="B9:C9"/>
    <mergeCell ref="B10:C10"/>
    <mergeCell ref="B11:C11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K19"/>
  <sheetViews>
    <sheetView topLeftCell="A5" workbookViewId="0">
      <selection activeCell="J11" sqref="J11"/>
    </sheetView>
  </sheetViews>
  <sheetFormatPr defaultRowHeight="14.5"/>
  <cols>
    <col min="1" max="1" width="6.453125" bestFit="1" customWidth="1"/>
    <col min="2" max="2" width="15.1796875" customWidth="1"/>
    <col min="3" max="3" width="15.7265625" customWidth="1"/>
    <col min="4" max="4" width="15.7265625" bestFit="1" customWidth="1"/>
    <col min="5" max="5" width="15.26953125" customWidth="1"/>
    <col min="7" max="7" width="6.453125" bestFit="1" customWidth="1"/>
    <col min="8" max="8" width="15.1796875" customWidth="1"/>
    <col min="9" max="9" width="15.7265625" customWidth="1"/>
    <col min="10" max="10" width="15.7265625" bestFit="1" customWidth="1"/>
    <col min="11" max="11" width="15.26953125" customWidth="1"/>
  </cols>
  <sheetData>
    <row r="2" spans="1:11" ht="15" thickBot="1"/>
    <row r="3" spans="1:11" ht="18.5">
      <c r="A3" s="376" t="s">
        <v>174</v>
      </c>
      <c r="B3" s="377"/>
      <c r="C3" s="377"/>
      <c r="D3" s="377"/>
      <c r="E3" s="378"/>
      <c r="G3" s="376" t="s">
        <v>174</v>
      </c>
      <c r="H3" s="377"/>
      <c r="I3" s="377"/>
      <c r="J3" s="377"/>
      <c r="K3" s="378"/>
    </row>
    <row r="4" spans="1:11" ht="74">
      <c r="A4" s="246" t="s">
        <v>175</v>
      </c>
      <c r="B4" s="38" t="s">
        <v>176</v>
      </c>
      <c r="C4" s="38" t="s">
        <v>185</v>
      </c>
      <c r="D4" s="38" t="s">
        <v>177</v>
      </c>
      <c r="E4" s="245" t="s">
        <v>178</v>
      </c>
      <c r="G4" s="246" t="s">
        <v>175</v>
      </c>
      <c r="H4" s="38" t="s">
        <v>176</v>
      </c>
      <c r="I4" s="38" t="s">
        <v>185</v>
      </c>
      <c r="J4" s="38" t="s">
        <v>177</v>
      </c>
      <c r="K4" s="245" t="s">
        <v>178</v>
      </c>
    </row>
    <row r="5" spans="1:11" ht="18.5">
      <c r="A5" s="39">
        <v>1</v>
      </c>
      <c r="B5" s="37">
        <f>Investment!F15</f>
        <v>6440000</v>
      </c>
      <c r="C5" s="249">
        <v>0.1</v>
      </c>
      <c r="D5" s="34">
        <f t="shared" ref="D5:D10" si="0">B5*0.1</f>
        <v>644000</v>
      </c>
      <c r="E5" s="40">
        <f t="shared" ref="E5:E10" si="1">B5-D5</f>
        <v>5796000</v>
      </c>
      <c r="G5" s="39">
        <v>1</v>
      </c>
      <c r="H5" s="37">
        <f>Investment!F22</f>
        <v>935000</v>
      </c>
      <c r="I5" s="249">
        <v>0.05</v>
      </c>
      <c r="J5" s="34">
        <f t="shared" ref="J5:J10" si="2">H5*I5</f>
        <v>46750</v>
      </c>
      <c r="K5" s="40">
        <f t="shared" ref="K5:K10" si="3">H5-J5</f>
        <v>888250</v>
      </c>
    </row>
    <row r="6" spans="1:11" ht="18.5">
      <c r="A6" s="39">
        <v>2</v>
      </c>
      <c r="B6" s="37">
        <f>E5</f>
        <v>5796000</v>
      </c>
      <c r="C6" s="249">
        <v>0.1</v>
      </c>
      <c r="D6" s="34">
        <f t="shared" si="0"/>
        <v>579600</v>
      </c>
      <c r="E6" s="40">
        <f t="shared" si="1"/>
        <v>5216400</v>
      </c>
      <c r="G6" s="39">
        <v>2</v>
      </c>
      <c r="H6" s="37">
        <f>K5</f>
        <v>888250</v>
      </c>
      <c r="I6" s="249">
        <v>0.05</v>
      </c>
      <c r="J6" s="34">
        <f t="shared" si="2"/>
        <v>44412.5</v>
      </c>
      <c r="K6" s="40">
        <f t="shared" si="3"/>
        <v>843837.5</v>
      </c>
    </row>
    <row r="7" spans="1:11" ht="18.5">
      <c r="A7" s="39">
        <v>3</v>
      </c>
      <c r="B7" s="37">
        <f>E6</f>
        <v>5216400</v>
      </c>
      <c r="C7" s="249">
        <v>0.1</v>
      </c>
      <c r="D7" s="34">
        <f t="shared" si="0"/>
        <v>521640</v>
      </c>
      <c r="E7" s="40">
        <f t="shared" si="1"/>
        <v>4694760</v>
      </c>
      <c r="G7" s="39">
        <v>3</v>
      </c>
      <c r="H7" s="37">
        <f>K6</f>
        <v>843837.5</v>
      </c>
      <c r="I7" s="249">
        <v>0.05</v>
      </c>
      <c r="J7" s="34">
        <f t="shared" si="2"/>
        <v>42191.875</v>
      </c>
      <c r="K7" s="40">
        <f t="shared" si="3"/>
        <v>801645.625</v>
      </c>
    </row>
    <row r="8" spans="1:11" ht="18.5">
      <c r="A8" s="39">
        <v>4</v>
      </c>
      <c r="B8" s="37">
        <f>E7</f>
        <v>4694760</v>
      </c>
      <c r="C8" s="249">
        <v>0.1</v>
      </c>
      <c r="D8" s="34">
        <f t="shared" si="0"/>
        <v>469476</v>
      </c>
      <c r="E8" s="40">
        <f t="shared" si="1"/>
        <v>4225284</v>
      </c>
      <c r="G8" s="39">
        <v>4</v>
      </c>
      <c r="H8" s="37">
        <f>K7</f>
        <v>801645.625</v>
      </c>
      <c r="I8" s="249">
        <v>0.05</v>
      </c>
      <c r="J8" s="34">
        <f t="shared" si="2"/>
        <v>40082.28125</v>
      </c>
      <c r="K8" s="40">
        <f t="shared" si="3"/>
        <v>761563.34375</v>
      </c>
    </row>
    <row r="9" spans="1:11" ht="19" thickBot="1">
      <c r="A9" s="41">
        <v>5</v>
      </c>
      <c r="B9" s="248">
        <f>E8</f>
        <v>4225284</v>
      </c>
      <c r="C9" s="250">
        <v>0.1</v>
      </c>
      <c r="D9" s="42">
        <f t="shared" si="0"/>
        <v>422528.4</v>
      </c>
      <c r="E9" s="43">
        <f t="shared" si="1"/>
        <v>3802755.6</v>
      </c>
      <c r="G9" s="41">
        <v>5</v>
      </c>
      <c r="H9" s="248">
        <f>K8</f>
        <v>761563.34375</v>
      </c>
      <c r="I9" s="249">
        <v>0.05</v>
      </c>
      <c r="J9" s="42">
        <f t="shared" si="2"/>
        <v>38078.167187500003</v>
      </c>
      <c r="K9" s="43">
        <f t="shared" si="3"/>
        <v>723485.17656249995</v>
      </c>
    </row>
    <row r="10" spans="1:11" ht="19" thickBot="1">
      <c r="A10" s="247">
        <v>6</v>
      </c>
      <c r="B10" s="37">
        <f>E9</f>
        <v>3802755.6</v>
      </c>
      <c r="C10" s="249">
        <v>0.1</v>
      </c>
      <c r="D10" s="175">
        <f t="shared" si="0"/>
        <v>380275.56000000006</v>
      </c>
      <c r="E10" s="176">
        <f t="shared" si="1"/>
        <v>3422480.04</v>
      </c>
      <c r="G10" s="247">
        <v>6</v>
      </c>
      <c r="H10" s="37">
        <f>K9</f>
        <v>723485.17656249995</v>
      </c>
      <c r="I10" s="249">
        <v>0.05</v>
      </c>
      <c r="J10" s="175">
        <f t="shared" si="2"/>
        <v>36174.258828124999</v>
      </c>
      <c r="K10" s="176">
        <f t="shared" si="3"/>
        <v>687310.91773437499</v>
      </c>
    </row>
    <row r="12" spans="1:11" ht="21.5" thickBot="1">
      <c r="B12" s="379" t="s">
        <v>241</v>
      </c>
      <c r="C12" s="379"/>
      <c r="D12" s="379"/>
      <c r="E12" s="379"/>
    </row>
    <row r="13" spans="1:11" ht="21">
      <c r="A13" s="212" t="s">
        <v>69</v>
      </c>
      <c r="B13" s="243" t="s">
        <v>163</v>
      </c>
      <c r="C13" s="243" t="s">
        <v>165</v>
      </c>
      <c r="D13" s="243" t="s">
        <v>340</v>
      </c>
      <c r="E13" s="244" t="s">
        <v>341</v>
      </c>
    </row>
    <row r="14" spans="1:11" ht="21">
      <c r="A14" s="121">
        <v>1</v>
      </c>
      <c r="B14" s="216" t="s">
        <v>243</v>
      </c>
      <c r="C14" s="35">
        <f>'Herd projection chart'!AF17</f>
        <v>10</v>
      </c>
      <c r="D14" s="251">
        <v>27000</v>
      </c>
      <c r="E14" s="217">
        <f>C14*D14</f>
        <v>270000</v>
      </c>
    </row>
    <row r="15" spans="1:11" ht="21">
      <c r="A15" s="121">
        <v>2</v>
      </c>
      <c r="B15" s="216" t="s">
        <v>242</v>
      </c>
      <c r="C15" s="35">
        <f>'Herd projection chart'!AG17</f>
        <v>100</v>
      </c>
      <c r="D15" s="251">
        <v>25000</v>
      </c>
      <c r="E15" s="217">
        <f>C15*D15</f>
        <v>2500000</v>
      </c>
    </row>
    <row r="16" spans="1:11" ht="21">
      <c r="A16" s="121">
        <v>3</v>
      </c>
      <c r="B16" s="216" t="s">
        <v>14</v>
      </c>
      <c r="C16" s="35">
        <f>'Herd projection chart'!AI17</f>
        <v>405</v>
      </c>
      <c r="D16" s="251">
        <v>4000</v>
      </c>
      <c r="E16" s="217">
        <f>C16*D16</f>
        <v>1620000</v>
      </c>
    </row>
    <row r="17" spans="1:5" ht="21">
      <c r="A17" s="121">
        <v>4</v>
      </c>
      <c r="B17" s="216" t="s">
        <v>167</v>
      </c>
      <c r="C17" s="35">
        <f>'Herd projection chart'!AJ17</f>
        <v>96</v>
      </c>
      <c r="D17" s="251">
        <v>20000</v>
      </c>
      <c r="E17" s="217">
        <f>C17*D17</f>
        <v>1920000</v>
      </c>
    </row>
    <row r="18" spans="1:5" ht="21">
      <c r="A18" s="121">
        <v>5</v>
      </c>
      <c r="B18" s="216" t="s">
        <v>168</v>
      </c>
      <c r="C18" s="35">
        <f>'Herd projection chart'!AK17</f>
        <v>192</v>
      </c>
      <c r="D18" s="251">
        <v>18000</v>
      </c>
      <c r="E18" s="217">
        <f>C18*D18</f>
        <v>3456000</v>
      </c>
    </row>
    <row r="19" spans="1:5" ht="21.5" thickBot="1">
      <c r="A19" s="380" t="s">
        <v>341</v>
      </c>
      <c r="B19" s="381"/>
      <c r="C19" s="381"/>
      <c r="D19" s="382"/>
      <c r="E19" s="252">
        <f>SUM(E14:E18)</f>
        <v>9766000</v>
      </c>
    </row>
  </sheetData>
  <mergeCells count="4">
    <mergeCell ref="A3:E3"/>
    <mergeCell ref="B12:E12"/>
    <mergeCell ref="A19:D19"/>
    <mergeCell ref="G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Techno economic parameters</vt:lpstr>
      <vt:lpstr>Project summary</vt:lpstr>
      <vt:lpstr>Investment</vt:lpstr>
      <vt:lpstr>year wise Piglet  projection</vt:lpstr>
      <vt:lpstr>Herd projection chart</vt:lpstr>
      <vt:lpstr>Feed expenditure</vt:lpstr>
      <vt:lpstr>manure </vt:lpstr>
      <vt:lpstr>Cost Benefit Analysis</vt:lpstr>
      <vt:lpstr>Depreciation </vt:lpstr>
      <vt:lpstr>Repayment schedule</vt:lpstr>
      <vt:lpstr>Sheet1</vt:lpstr>
      <vt:lpstr>Sheet2</vt:lpstr>
      <vt:lpstr>Sheet3</vt:lpstr>
      <vt:lpstr>'Techno economic parameters'!OLE_LINK1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2025-02-18T10:11:08Z</dcterms:modified>
</cp:coreProperties>
</file>