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0490" windowHeight="7545" tabRatio="739" activeTab="5"/>
  </bookViews>
  <sheets>
    <sheet name="overview" sheetId="1" r:id="rId1"/>
    <sheet name="tep " sheetId="2" r:id="rId2"/>
    <sheet name="expenditure" sheetId="3" r:id="rId3"/>
    <sheet name="flock projection" sheetId="4" r:id="rId4"/>
    <sheet name="cash flow" sheetId="5" r:id="rId5"/>
    <sheet name="repayment schedule" sheetId="6" r:id="rId6"/>
  </sheets>
  <calcPr calcId="144525"/>
</workbook>
</file>

<file path=xl/calcChain.xml><?xml version="1.0" encoding="utf-8"?>
<calcChain xmlns="http://schemas.openxmlformats.org/spreadsheetml/2006/main">
  <c r="Q7" i="5" l="1"/>
  <c r="Q9" i="5"/>
  <c r="M15" i="6" l="1"/>
  <c r="M14" i="6"/>
  <c r="C20" i="6"/>
  <c r="F17" i="3" l="1"/>
  <c r="F32" i="1"/>
  <c r="N13" i="5"/>
  <c r="G15" i="5"/>
  <c r="H15" i="5"/>
  <c r="I15" i="5"/>
  <c r="J15" i="5"/>
  <c r="K15" i="5"/>
  <c r="L15" i="5"/>
  <c r="M15" i="5"/>
  <c r="N5" i="5" l="1"/>
  <c r="M5" i="5"/>
  <c r="L5" i="5"/>
  <c r="K5" i="5"/>
  <c r="J5" i="5"/>
  <c r="I5" i="5"/>
  <c r="H5" i="5"/>
  <c r="J6" i="5"/>
  <c r="N3" i="5"/>
  <c r="M3" i="5"/>
  <c r="L3" i="5"/>
  <c r="K3" i="5"/>
  <c r="J3" i="5"/>
  <c r="I3" i="5"/>
  <c r="H3" i="5"/>
  <c r="N6" i="5"/>
  <c r="M6" i="5"/>
  <c r="L6" i="5"/>
  <c r="K6" i="5"/>
  <c r="I6" i="5"/>
  <c r="H6" i="5"/>
  <c r="G6" i="5"/>
  <c r="N4" i="5"/>
  <c r="M4" i="5"/>
  <c r="L4" i="5"/>
  <c r="K4" i="5"/>
  <c r="J4" i="5"/>
  <c r="I4" i="5"/>
  <c r="G4" i="5"/>
  <c r="H4" i="5"/>
  <c r="H4" i="3" l="1"/>
  <c r="F20" i="1"/>
  <c r="F31" i="1"/>
  <c r="D7" i="6"/>
  <c r="G19" i="6"/>
  <c r="F11" i="6"/>
  <c r="G11" i="6" s="1"/>
  <c r="G25" i="3" l="1"/>
  <c r="G24" i="3"/>
  <c r="G32" i="3"/>
  <c r="G31" i="3"/>
  <c r="G30" i="3"/>
  <c r="G29" i="3"/>
  <c r="G28" i="3"/>
  <c r="G27" i="3"/>
  <c r="G26" i="3"/>
  <c r="F26" i="3"/>
  <c r="G23" i="3"/>
  <c r="G22" i="3"/>
  <c r="G21" i="3"/>
  <c r="G17" i="3"/>
  <c r="G16" i="3"/>
  <c r="G15" i="3"/>
  <c r="G14" i="3"/>
  <c r="G13" i="3"/>
  <c r="F13" i="3"/>
  <c r="H2" i="2"/>
  <c r="H17" i="3" l="1"/>
  <c r="F25" i="3"/>
  <c r="H25" i="3" s="1"/>
  <c r="F22" i="3"/>
  <c r="G2" i="4"/>
  <c r="H4" i="2"/>
  <c r="F23" i="3" s="1"/>
  <c r="H23" i="3" s="1"/>
  <c r="G20" i="5" s="1"/>
  <c r="H13" i="3"/>
  <c r="H26" i="3"/>
  <c r="G23" i="5" s="1"/>
  <c r="F15" i="3" l="1"/>
  <c r="H15" i="3" s="1"/>
  <c r="F21" i="3"/>
  <c r="G6" i="4"/>
  <c r="G7" i="4"/>
  <c r="H20" i="5"/>
  <c r="L20" i="5"/>
  <c r="I20" i="5"/>
  <c r="M20" i="5"/>
  <c r="G19" i="4"/>
  <c r="G10" i="4"/>
  <c r="G17" i="4" s="1"/>
  <c r="F14" i="3"/>
  <c r="H14" i="3" s="1"/>
  <c r="G3" i="4"/>
  <c r="F16" i="3"/>
  <c r="H16" i="3" s="1"/>
  <c r="H23" i="5"/>
  <c r="I23" i="5" s="1"/>
  <c r="J23" i="5" s="1"/>
  <c r="K23" i="5" s="1"/>
  <c r="L23" i="5" s="1"/>
  <c r="N23" i="5"/>
  <c r="M23" i="5"/>
  <c r="K20" i="5"/>
  <c r="N20" i="5"/>
  <c r="F27" i="3"/>
  <c r="H22" i="3"/>
  <c r="J20" i="5"/>
  <c r="F24" i="3"/>
  <c r="H24" i="3" s="1"/>
  <c r="F30" i="3"/>
  <c r="H30" i="3" s="1"/>
  <c r="G27" i="5" s="1"/>
  <c r="L27" i="5" s="1"/>
  <c r="H31" i="5" l="1"/>
  <c r="F32" i="6"/>
  <c r="I27" i="5"/>
  <c r="H27" i="5"/>
  <c r="M27" i="5"/>
  <c r="K27" i="5"/>
  <c r="G19" i="5"/>
  <c r="I31" i="5"/>
  <c r="G31" i="5"/>
  <c r="N27" i="5"/>
  <c r="H18" i="3"/>
  <c r="C19" i="6" s="1"/>
  <c r="N31" i="5"/>
  <c r="L31" i="5"/>
  <c r="G20" i="4"/>
  <c r="G28" i="4" s="1"/>
  <c r="G10" i="5"/>
  <c r="M31" i="5"/>
  <c r="K31" i="5"/>
  <c r="J31" i="5"/>
  <c r="F32" i="3"/>
  <c r="H32" i="3" s="1"/>
  <c r="G29" i="5" s="1"/>
  <c r="M29" i="5" s="1"/>
  <c r="J27" i="5"/>
  <c r="H8" i="4"/>
  <c r="G12" i="4"/>
  <c r="H21" i="3"/>
  <c r="H27" i="3"/>
  <c r="F28" i="3"/>
  <c r="G16" i="4"/>
  <c r="H5" i="4"/>
  <c r="G13" i="4"/>
  <c r="J32" i="5"/>
  <c r="H32" i="5"/>
  <c r="I32" i="5"/>
  <c r="K32" i="5"/>
  <c r="G32" i="5"/>
  <c r="M32" i="5"/>
  <c r="L32" i="5"/>
  <c r="N14" i="5" l="1"/>
  <c r="G21" i="4"/>
  <c r="G29" i="4" s="1"/>
  <c r="G21" i="5" s="1"/>
  <c r="G9" i="5"/>
  <c r="H2" i="4"/>
  <c r="H10" i="4" s="1"/>
  <c r="H17" i="4" s="1"/>
  <c r="I29" i="5"/>
  <c r="K29" i="5"/>
  <c r="N29" i="5"/>
  <c r="L29" i="5"/>
  <c r="J29" i="5"/>
  <c r="H29" i="5"/>
  <c r="G14" i="4"/>
  <c r="G15" i="4"/>
  <c r="G30" i="5"/>
  <c r="H4" i="4"/>
  <c r="H9" i="4"/>
  <c r="G22" i="5"/>
  <c r="H28" i="3"/>
  <c r="F29" i="3"/>
  <c r="F33" i="6" l="1"/>
  <c r="N15" i="5"/>
  <c r="H19" i="4"/>
  <c r="G34" i="4"/>
  <c r="G28" i="5" s="1"/>
  <c r="G18" i="5"/>
  <c r="G8" i="5"/>
  <c r="G25" i="4"/>
  <c r="H20" i="4"/>
  <c r="H28" i="4" s="1"/>
  <c r="I2" i="4" s="1"/>
  <c r="H10" i="5"/>
  <c r="G7" i="5"/>
  <c r="G22" i="4"/>
  <c r="H6" i="4"/>
  <c r="H12" i="4" s="1"/>
  <c r="H14" i="4" s="1"/>
  <c r="H7" i="4"/>
  <c r="G11" i="5"/>
  <c r="H3" i="4"/>
  <c r="I8" i="4"/>
  <c r="H29" i="3"/>
  <c r="F31" i="3"/>
  <c r="H31" i="3" s="1"/>
  <c r="G24" i="4" l="1"/>
  <c r="G27" i="4"/>
  <c r="G26" i="4" s="1"/>
  <c r="G5" i="5" s="1"/>
  <c r="G24" i="5"/>
  <c r="G25" i="5"/>
  <c r="G26" i="5"/>
  <c r="I5" i="4"/>
  <c r="H13" i="4"/>
  <c r="I6" i="4"/>
  <c r="I7" i="4"/>
  <c r="H21" i="4"/>
  <c r="H9" i="5"/>
  <c r="H19" i="5"/>
  <c r="H22" i="4"/>
  <c r="H18" i="5"/>
  <c r="H16" i="4"/>
  <c r="H22" i="5"/>
  <c r="H33" i="3"/>
  <c r="H35" i="3" s="1"/>
  <c r="H7" i="5"/>
  <c r="I19" i="4"/>
  <c r="H30" i="5"/>
  <c r="I9" i="4"/>
  <c r="H24" i="4" l="1"/>
  <c r="G23" i="4"/>
  <c r="G3" i="5" s="1"/>
  <c r="G33" i="5"/>
  <c r="C15" i="6" s="1"/>
  <c r="H29" i="4"/>
  <c r="H15" i="4"/>
  <c r="H8" i="5" s="1"/>
  <c r="I19" i="5"/>
  <c r="I20" i="4"/>
  <c r="I10" i="5"/>
  <c r="I4" i="4"/>
  <c r="I12" i="4" s="1"/>
  <c r="I14" i="4" s="1"/>
  <c r="I7" i="5" s="1"/>
  <c r="H36" i="3"/>
  <c r="I3" i="4"/>
  <c r="I18" i="5" s="1"/>
  <c r="H34" i="4"/>
  <c r="H21" i="5"/>
  <c r="H11" i="5"/>
  <c r="I13" i="4"/>
  <c r="J5" i="4"/>
  <c r="D19" i="6"/>
  <c r="F22" i="1"/>
  <c r="J8" i="4"/>
  <c r="C14" i="6" l="1"/>
  <c r="G35" i="5"/>
  <c r="C4" i="6" s="1"/>
  <c r="H23" i="4"/>
  <c r="H25" i="4"/>
  <c r="F23" i="1"/>
  <c r="F24" i="1" s="1"/>
  <c r="I22" i="4"/>
  <c r="G29" i="1"/>
  <c r="I11" i="4"/>
  <c r="H25" i="5"/>
  <c r="H26" i="5"/>
  <c r="H28" i="5"/>
  <c r="H24" i="5"/>
  <c r="J9" i="4"/>
  <c r="I22" i="5"/>
  <c r="I15" i="4"/>
  <c r="I8" i="5" s="1"/>
  <c r="J4" i="4"/>
  <c r="I30" i="5"/>
  <c r="H27" i="4" l="1"/>
  <c r="H26" i="4" s="1"/>
  <c r="D14" i="6" s="1"/>
  <c r="I24" i="4"/>
  <c r="I23" i="4"/>
  <c r="G36" i="5"/>
  <c r="I16" i="4"/>
  <c r="I10" i="4"/>
  <c r="I17" i="4" s="1"/>
  <c r="I28" i="4" s="1"/>
  <c r="J2" i="4" s="1"/>
  <c r="J6" i="4" s="1"/>
  <c r="E4" i="6"/>
  <c r="E5" i="6" s="1"/>
  <c r="I21" i="4"/>
  <c r="I9" i="5"/>
  <c r="I25" i="4"/>
  <c r="H33" i="5"/>
  <c r="I27" i="4" l="1"/>
  <c r="I26" i="4" s="1"/>
  <c r="I29" i="4"/>
  <c r="J3" i="4" s="1"/>
  <c r="J18" i="5" s="1"/>
  <c r="J10" i="4"/>
  <c r="J7" i="4"/>
  <c r="J19" i="5" s="1"/>
  <c r="J19" i="4"/>
  <c r="J10" i="5" s="1"/>
  <c r="J17" i="4"/>
  <c r="E6" i="6"/>
  <c r="J12" i="4"/>
  <c r="J14" i="4" s="1"/>
  <c r="J7" i="5" s="1"/>
  <c r="H35" i="5"/>
  <c r="D15" i="6"/>
  <c r="K5" i="4"/>
  <c r="K8" i="4"/>
  <c r="J16" i="4"/>
  <c r="C5" i="6" l="1"/>
  <c r="I11" i="5"/>
  <c r="I34" i="4"/>
  <c r="I28" i="5" s="1"/>
  <c r="I21" i="5"/>
  <c r="J13" i="4"/>
  <c r="J15" i="4" s="1"/>
  <c r="E14" i="6"/>
  <c r="I26" i="5"/>
  <c r="J20" i="4"/>
  <c r="J28" i="4" s="1"/>
  <c r="K2" i="4" s="1"/>
  <c r="D8" i="6"/>
  <c r="E7" i="6"/>
  <c r="E8" i="6" s="1"/>
  <c r="E9" i="6" s="1"/>
  <c r="E10" i="6" s="1"/>
  <c r="F10" i="6" s="1"/>
  <c r="G10" i="6" s="1"/>
  <c r="I25" i="5"/>
  <c r="J8" i="5"/>
  <c r="J22" i="4"/>
  <c r="J21" i="4"/>
  <c r="J29" i="4" s="1"/>
  <c r="J9" i="5"/>
  <c r="H36" i="5"/>
  <c r="J22" i="5"/>
  <c r="K9" i="4"/>
  <c r="J30" i="5"/>
  <c r="K4" i="4"/>
  <c r="I24" i="5" l="1"/>
  <c r="I33" i="5" s="1"/>
  <c r="J24" i="4"/>
  <c r="D9" i="6"/>
  <c r="J25" i="4"/>
  <c r="F9" i="6"/>
  <c r="G9" i="6" s="1"/>
  <c r="K3" i="4"/>
  <c r="J34" i="4"/>
  <c r="J25" i="5" s="1"/>
  <c r="K6" i="4"/>
  <c r="K12" i="4" s="1"/>
  <c r="K7" i="4"/>
  <c r="K18" i="5"/>
  <c r="J11" i="5"/>
  <c r="K10" i="4"/>
  <c r="K17" i="4" s="1"/>
  <c r="K19" i="4"/>
  <c r="J21" i="5"/>
  <c r="I35" i="5" l="1"/>
  <c r="E15" i="6"/>
  <c r="J27" i="4"/>
  <c r="J26" i="4" s="1"/>
  <c r="J23" i="4"/>
  <c r="J24" i="5"/>
  <c r="F7" i="6"/>
  <c r="G7" i="6" s="1"/>
  <c r="F4" i="6"/>
  <c r="G4" i="6" s="1"/>
  <c r="F6" i="6"/>
  <c r="G6" i="6" s="1"/>
  <c r="F8" i="6"/>
  <c r="G8" i="6" s="1"/>
  <c r="F5" i="6"/>
  <c r="G5" i="6" s="1"/>
  <c r="H5" i="6" s="1"/>
  <c r="C21" i="6" s="1"/>
  <c r="D21" i="6" s="1"/>
  <c r="J26" i="5"/>
  <c r="J28" i="5"/>
  <c r="K21" i="4"/>
  <c r="K9" i="5"/>
  <c r="K20" i="4"/>
  <c r="K28" i="4" s="1"/>
  <c r="L2" i="4" s="1"/>
  <c r="K10" i="5"/>
  <c r="K19" i="5"/>
  <c r="K16" i="4"/>
  <c r="L5" i="4"/>
  <c r="K13" i="4"/>
  <c r="L8" i="4"/>
  <c r="K14" i="4"/>
  <c r="K7" i="5" s="1"/>
  <c r="C6" i="6" l="1"/>
  <c r="H6" i="6" s="1"/>
  <c r="C22" i="6" s="1"/>
  <c r="D22" i="6" s="1"/>
  <c r="H4" i="6"/>
  <c r="J22" i="6"/>
  <c r="I36" i="5"/>
  <c r="F14" i="6"/>
  <c r="K29" i="4"/>
  <c r="L3" i="4" s="1"/>
  <c r="L11" i="4" s="1"/>
  <c r="L16" i="4" s="1"/>
  <c r="J33" i="5"/>
  <c r="F15" i="6" s="1"/>
  <c r="L7" i="4"/>
  <c r="L6" i="4"/>
  <c r="K22" i="4"/>
  <c r="L4" i="4"/>
  <c r="K30" i="5"/>
  <c r="K15" i="4"/>
  <c r="K8" i="5" s="1"/>
  <c r="L19" i="4"/>
  <c r="L9" i="4"/>
  <c r="K22" i="5"/>
  <c r="K34" i="4" l="1"/>
  <c r="K26" i="5" s="1"/>
  <c r="K24" i="4"/>
  <c r="K11" i="5"/>
  <c r="K21" i="5"/>
  <c r="L18" i="5"/>
  <c r="L10" i="4"/>
  <c r="L17" i="4" s="1"/>
  <c r="J35" i="5"/>
  <c r="L20" i="4"/>
  <c r="L10" i="5"/>
  <c r="L19" i="5"/>
  <c r="L21" i="4"/>
  <c r="L29" i="4" s="1"/>
  <c r="M3" i="4" s="1"/>
  <c r="L9" i="5"/>
  <c r="K25" i="4"/>
  <c r="K24" i="5"/>
  <c r="K28" i="5"/>
  <c r="K25" i="5"/>
  <c r="M8" i="4"/>
  <c r="L12" i="4"/>
  <c r="L14" i="4" s="1"/>
  <c r="L7" i="5" s="1"/>
  <c r="M5" i="4"/>
  <c r="L13" i="4"/>
  <c r="C7" i="6" l="1"/>
  <c r="H7" i="6" s="1"/>
  <c r="C23" i="6" s="1"/>
  <c r="E21" i="6"/>
  <c r="E23" i="6"/>
  <c r="D20" i="6"/>
  <c r="E22" i="6"/>
  <c r="E20" i="6"/>
  <c r="K27" i="4"/>
  <c r="K26" i="4" s="1"/>
  <c r="G14" i="6" s="1"/>
  <c r="K23" i="4"/>
  <c r="D23" i="6"/>
  <c r="L28" i="4"/>
  <c r="M2" i="4" s="1"/>
  <c r="M19" i="4" s="1"/>
  <c r="J36" i="5"/>
  <c r="M16" i="4"/>
  <c r="L22" i="4"/>
  <c r="K33" i="5"/>
  <c r="G15" i="6" s="1"/>
  <c r="M9" i="4"/>
  <c r="L22" i="5"/>
  <c r="M4" i="4"/>
  <c r="L30" i="5"/>
  <c r="L15" i="4"/>
  <c r="L8" i="5" s="1"/>
  <c r="L24" i="4" l="1"/>
  <c r="L34" i="4"/>
  <c r="L25" i="5" s="1"/>
  <c r="L11" i="5"/>
  <c r="L21" i="5"/>
  <c r="M6" i="4"/>
  <c r="M12" i="4" s="1"/>
  <c r="M14" i="4" s="1"/>
  <c r="M7" i="5" s="1"/>
  <c r="M18" i="5"/>
  <c r="M7" i="4"/>
  <c r="N5" i="4" s="1"/>
  <c r="M21" i="4"/>
  <c r="M29" i="4" s="1"/>
  <c r="N3" i="4" s="1"/>
  <c r="M9" i="5"/>
  <c r="M10" i="4"/>
  <c r="M17" i="4" s="1"/>
  <c r="L25" i="4"/>
  <c r="M20" i="4"/>
  <c r="M10" i="5"/>
  <c r="K35" i="5"/>
  <c r="L24" i="5"/>
  <c r="M13" i="4"/>
  <c r="K36" i="5" l="1"/>
  <c r="L26" i="5"/>
  <c r="L28" i="5"/>
  <c r="L33" i="5" s="1"/>
  <c r="H15" i="6" s="1"/>
  <c r="L23" i="4"/>
  <c r="L27" i="4"/>
  <c r="L26" i="4" s="1"/>
  <c r="M28" i="4"/>
  <c r="M21" i="5" s="1"/>
  <c r="N8" i="4"/>
  <c r="N9" i="4"/>
  <c r="M22" i="4"/>
  <c r="M19" i="5"/>
  <c r="N16" i="4"/>
  <c r="C8" i="6"/>
  <c r="H8" i="6" s="1"/>
  <c r="M15" i="4"/>
  <c r="M8" i="5" s="1"/>
  <c r="C24" i="6" l="1"/>
  <c r="H14" i="6"/>
  <c r="M24" i="4"/>
  <c r="M34" i="4"/>
  <c r="M24" i="5" s="1"/>
  <c r="D24" i="6"/>
  <c r="N4" i="4"/>
  <c r="N2" i="4"/>
  <c r="N6" i="4" s="1"/>
  <c r="M25" i="4"/>
  <c r="M22" i="5"/>
  <c r="M11" i="5"/>
  <c r="M30" i="5"/>
  <c r="N21" i="4"/>
  <c r="N29" i="4" s="1"/>
  <c r="N9" i="5"/>
  <c r="E24" i="6" l="1"/>
  <c r="L35" i="5"/>
  <c r="M26" i="5"/>
  <c r="M27" i="4"/>
  <c r="M26" i="4" s="1"/>
  <c r="M28" i="5"/>
  <c r="M23" i="4"/>
  <c r="N18" i="5"/>
  <c r="M25" i="5"/>
  <c r="N19" i="4"/>
  <c r="N20" i="4" s="1"/>
  <c r="N7" i="4"/>
  <c r="N13" i="4" s="1"/>
  <c r="N12" i="4"/>
  <c r="N14" i="4" s="1"/>
  <c r="N7" i="5" s="1"/>
  <c r="N10" i="4"/>
  <c r="N17" i="4" s="1"/>
  <c r="L36" i="5" l="1"/>
  <c r="C9" i="6"/>
  <c r="H9" i="6" s="1"/>
  <c r="I14" i="6"/>
  <c r="M33" i="5"/>
  <c r="I15" i="6" s="1"/>
  <c r="N19" i="5"/>
  <c r="N10" i="5"/>
  <c r="N15" i="4"/>
  <c r="N8" i="5" s="1"/>
  <c r="N28" i="4"/>
  <c r="N12" i="5" s="1"/>
  <c r="F31" i="6" s="1"/>
  <c r="F34" i="6" s="1"/>
  <c r="N22" i="5"/>
  <c r="N30" i="5"/>
  <c r="N22" i="4"/>
  <c r="C25" i="6" l="1"/>
  <c r="D25" i="6" s="1"/>
  <c r="M35" i="5"/>
  <c r="N24" i="4"/>
  <c r="N25" i="4"/>
  <c r="N34" i="4"/>
  <c r="N24" i="5" s="1"/>
  <c r="N21" i="5"/>
  <c r="N11" i="5"/>
  <c r="M36" i="5" l="1"/>
  <c r="E25" i="6"/>
  <c r="C10" i="6"/>
  <c r="H10" i="6" s="1"/>
  <c r="N26" i="5"/>
  <c r="N28" i="5"/>
  <c r="N27" i="4"/>
  <c r="N26" i="4" s="1"/>
  <c r="N23" i="4"/>
  <c r="J14" i="6" s="1"/>
  <c r="N25" i="5"/>
  <c r="C26" i="6" l="1"/>
  <c r="D26" i="6" s="1"/>
  <c r="N33" i="5"/>
  <c r="J15" i="6" s="1"/>
  <c r="J21" i="6" s="1"/>
  <c r="K20" i="6" l="1"/>
  <c r="E26" i="6"/>
  <c r="N35" i="5"/>
  <c r="N36" i="5" l="1"/>
  <c r="J24" i="6"/>
  <c r="J23" i="6"/>
  <c r="C11" i="6"/>
  <c r="H11" i="6" s="1"/>
  <c r="C27" i="6" l="1"/>
  <c r="D27" i="6" s="1"/>
  <c r="J19" i="6" s="1"/>
  <c r="J25" i="6"/>
  <c r="J20" i="6"/>
  <c r="K19" i="6" l="1"/>
  <c r="E27" i="6"/>
</calcChain>
</file>

<file path=xl/sharedStrings.xml><?xml version="1.0" encoding="utf-8"?>
<sst xmlns="http://schemas.openxmlformats.org/spreadsheetml/2006/main" count="265" uniqueCount="228">
  <si>
    <t>Project Report for A Sheep Unit.</t>
  </si>
  <si>
    <t>Prepared by:</t>
  </si>
  <si>
    <t>Name of the Farmer</t>
  </si>
  <si>
    <t>Name of the Village</t>
  </si>
  <si>
    <t>Name of the Mandal</t>
  </si>
  <si>
    <t>Name of the District</t>
  </si>
  <si>
    <t>Age of the Farmer</t>
  </si>
  <si>
    <t>Socio-Economic status of the farmer</t>
  </si>
  <si>
    <t>Aadhar Number</t>
  </si>
  <si>
    <t>Number of Sheep proposed</t>
  </si>
  <si>
    <t>Breed Proposed</t>
  </si>
  <si>
    <t>Project cost (Rs)</t>
  </si>
  <si>
    <t>Margin money (Rs)</t>
  </si>
  <si>
    <t>Bank Loan (Rs)</t>
  </si>
  <si>
    <t>Name of the Financing Bank</t>
  </si>
  <si>
    <t>Rate of Interest (%)</t>
  </si>
  <si>
    <t>Repayment Period (Years)</t>
  </si>
  <si>
    <t>Name of the sponsored Scheme</t>
  </si>
  <si>
    <t>Rate of Subsidy (%)</t>
  </si>
  <si>
    <t>Subsidy Cieling (Rs)</t>
  </si>
  <si>
    <t>Techno-Economic Parameters:</t>
  </si>
  <si>
    <t>Number of Ewes proposed</t>
  </si>
  <si>
    <t>Cost of each Ewe (Rs)</t>
  </si>
  <si>
    <t>Number of Rams required</t>
  </si>
  <si>
    <t>Cost of each Ram (Rs)</t>
  </si>
  <si>
    <t>Duration of Breeding cycle (Days)</t>
  </si>
  <si>
    <t>Number of Lambings in 2 years</t>
  </si>
  <si>
    <t>Culling Percentage  (%)</t>
  </si>
  <si>
    <t>Female lambs per lambing (%)</t>
  </si>
  <si>
    <t>Male lambs per lambing (%)</t>
  </si>
  <si>
    <t>Fattening Period (Days)</t>
  </si>
  <si>
    <t>Number of lambs per ewe per year</t>
  </si>
  <si>
    <t>Mortality in Adults (%)</t>
  </si>
  <si>
    <t>Floor space per Ewe (Sft)</t>
  </si>
  <si>
    <t>Floor space per Ram (Sft)</t>
  </si>
  <si>
    <t>Floor space per Lamb (Sft)</t>
  </si>
  <si>
    <t>Cost of Construction per Square foot (Sft)</t>
  </si>
  <si>
    <t>Number of Labor required</t>
  </si>
  <si>
    <t>Cost of wage paid to Labor per month (Rs)</t>
  </si>
  <si>
    <t>Cost of Concentrate (Rs/Kg)</t>
  </si>
  <si>
    <t>Number of Mineral Bricks per Adult per Cycle</t>
  </si>
  <si>
    <t>Number of Mineral Bricks per Lamb per Cycle</t>
  </si>
  <si>
    <t>Cost of Each Mineral Brick (Rs)</t>
  </si>
  <si>
    <t>Rate of Insurance Premium (%)</t>
  </si>
  <si>
    <t>Cost of Equipment (Rs/Animal)</t>
  </si>
  <si>
    <t>Cost of Veterinary Aid (Rs/Animal/Cycle)</t>
  </si>
  <si>
    <t>Cost of medicines and Supplements (Rs/Animal/Cycle)</t>
  </si>
  <si>
    <t>Water and Electricity Charges (Rs/Animal/Cycle)</t>
  </si>
  <si>
    <t>Miscellaneous Expenditure (Rs/Animal/Cycle)</t>
  </si>
  <si>
    <t>Area required for fodder cultivation (Acres)</t>
  </si>
  <si>
    <t>Cost of fodder cultivation (Rs/Acre)</t>
  </si>
  <si>
    <t>Number of Chaff Cutter(s) required</t>
  </si>
  <si>
    <t>Cost of Chaff Cutter (Rs)</t>
  </si>
  <si>
    <t>Quantity of dung from Adult per day (Kg)</t>
  </si>
  <si>
    <t>Quantity of dung from Lamb per day (Kg)</t>
  </si>
  <si>
    <t>Sale price of manure (Rs/ton)</t>
  </si>
  <si>
    <t>Leguminous fodder variety proposed</t>
  </si>
  <si>
    <t>Non-Leguminous fodder variety proposed</t>
  </si>
  <si>
    <t>Overview:</t>
  </si>
  <si>
    <t>Average number of cycles in a year</t>
  </si>
  <si>
    <t>Non-Recurring Expenditure:</t>
  </si>
  <si>
    <t>Cost of Ewes (Rs)</t>
  </si>
  <si>
    <t>Cost of Rams (Rs)</t>
  </si>
  <si>
    <t>Cost of Animal Housing (Rs)</t>
  </si>
  <si>
    <t>Cost of Equipment (Rs)</t>
  </si>
  <si>
    <t>Cost of Chaff cutter (Rs)</t>
  </si>
  <si>
    <t>Total (Rs)</t>
  </si>
  <si>
    <t>Recurring Expenditure (Per Cycle):</t>
  </si>
  <si>
    <t>Cost of Concentrate feed for Lambs (Rs)</t>
  </si>
  <si>
    <t>Cost of Concentrate feed for Adults (Rs)</t>
  </si>
  <si>
    <t>Cost of Fodder Cultivation (Rs)</t>
  </si>
  <si>
    <t>Labor cost (Rs)</t>
  </si>
  <si>
    <t>Water and Electricity Charges (Rs)</t>
  </si>
  <si>
    <t>Cost of Veterinary aid (Rs)</t>
  </si>
  <si>
    <t>Cost of Mineral Bricks (Rs)</t>
  </si>
  <si>
    <t>Cost of Medicines and supplements (Rs)</t>
  </si>
  <si>
    <t>Miscellaneous Expenditure (Rs)</t>
  </si>
  <si>
    <t>Cost of Insurance (Rs)</t>
  </si>
  <si>
    <t>Units</t>
  </si>
  <si>
    <t>Unit Cost (Rs)</t>
  </si>
  <si>
    <t>Mortality in Pre-Weaning Lambs (0-3M) (%)</t>
  </si>
  <si>
    <t>Mortality in Post-Weaning Lambs (3-6M) (%)</t>
  </si>
  <si>
    <t>Nellore</t>
  </si>
  <si>
    <t>Super Napier</t>
  </si>
  <si>
    <t>Age of Lambs at Weaning (Months)</t>
  </si>
  <si>
    <t>Quantity of Dry fodder per adult per day (Kg)</t>
  </si>
  <si>
    <t>Quantity of Dry fodder per Lamb per day (Kg)</t>
  </si>
  <si>
    <t>Cost of Dry fodder  (Rs/Ton)</t>
  </si>
  <si>
    <t>Flock Projection Chart:</t>
  </si>
  <si>
    <t>Opening stock of Ewes</t>
  </si>
  <si>
    <t>Opening stock of Rams</t>
  </si>
  <si>
    <t>Number of Ewes dead</t>
  </si>
  <si>
    <t>Number of Rams dead</t>
  </si>
  <si>
    <t>Number of Pre-Weaning Ram lambs dead</t>
  </si>
  <si>
    <t>Number of Pre-Weaning Ewe lambs dead</t>
  </si>
  <si>
    <t>Number of Post-Weaning Ram lambs dead</t>
  </si>
  <si>
    <t>Number of Post-Weaning Ewe lambs dead</t>
  </si>
  <si>
    <t>Opening stock of Pre-Weaning Ram Lambs</t>
  </si>
  <si>
    <t>Opening stock of Pre-Weaning Ewe Lambs</t>
  </si>
  <si>
    <t>Opening stock of Post-Weaning Ram Lambs</t>
  </si>
  <si>
    <t>Opening stock of Post-Weaning Ewe Lambs</t>
  </si>
  <si>
    <t>Number of Rams replaced by Insurance</t>
  </si>
  <si>
    <t>Number of Ewes replaced by Insurance</t>
  </si>
  <si>
    <t>Number of Rams Culled</t>
  </si>
  <si>
    <t>Number of Ewes Culled</t>
  </si>
  <si>
    <t>Number of Ram lambs born</t>
  </si>
  <si>
    <t>Number of Ewe lambs born</t>
  </si>
  <si>
    <t>Number of Ewe lambs replaced for culled Ewes</t>
  </si>
  <si>
    <t>Number of Rams purchased</t>
  </si>
  <si>
    <t>Closing stock of Ewes</t>
  </si>
  <si>
    <t>Closing stock of Rams</t>
  </si>
  <si>
    <t>Closing stock of Pre-Weaning Ram lambs</t>
  </si>
  <si>
    <t>Closing stock of Pre-Weaning Ewe lambs</t>
  </si>
  <si>
    <t>Closing stock of Post-Weaning Ram lambs</t>
  </si>
  <si>
    <t>Closing stock of Post-Weaning Ewe lambs</t>
  </si>
  <si>
    <t>Total Stock</t>
  </si>
  <si>
    <t>I Year</t>
  </si>
  <si>
    <t>II Year</t>
  </si>
  <si>
    <t xml:space="preserve">III Year </t>
  </si>
  <si>
    <t>IV Year</t>
  </si>
  <si>
    <t>V Year</t>
  </si>
  <si>
    <t>VI Year</t>
  </si>
  <si>
    <t>VII Year</t>
  </si>
  <si>
    <t>VIII Year</t>
  </si>
  <si>
    <t>Cash Flow:</t>
  </si>
  <si>
    <t>Sale of Fattened Ram Lambs (Rs)</t>
  </si>
  <si>
    <t>Sale of Fattened Ewe Lambs (Rs)</t>
  </si>
  <si>
    <t>Insurance claim for the dead Ram Lambs (Rs)</t>
  </si>
  <si>
    <t>Insurance claim for the dead Ewe Lambs (Rs)</t>
  </si>
  <si>
    <t>Sale of Manure (Rs)</t>
  </si>
  <si>
    <t>Cost of concentrate fed to Adults (Rs)</t>
  </si>
  <si>
    <t>Cost of concentrate fed to Lambs (Rs)</t>
  </si>
  <si>
    <t>Cost of Dry fodder for Adults (Rs)</t>
  </si>
  <si>
    <t>Cost of Dry fodder for Lambs (Rs)</t>
  </si>
  <si>
    <t>Cost of Medicines and Supplements (Rs)</t>
  </si>
  <si>
    <t>Cost of Labor (Rs)</t>
  </si>
  <si>
    <t>Miscellaneous expenditure (Rs)</t>
  </si>
  <si>
    <t>Income</t>
  </si>
  <si>
    <t>Total Income (Rs)</t>
  </si>
  <si>
    <t>III Year</t>
  </si>
  <si>
    <t>Depreciation on Civil structures (@10%) (Rs)</t>
  </si>
  <si>
    <t>Depreciation on Equipment (@15%) (Rs)</t>
  </si>
  <si>
    <t>Cost of Insurance of Breeding Stock (Rs)</t>
  </si>
  <si>
    <t>Cost of Insurance of Lambs (Rs)</t>
  </si>
  <si>
    <t>Gross Profit per Annum (Rs)</t>
  </si>
  <si>
    <t>Gross Profit per Month (Rs)</t>
  </si>
  <si>
    <t>Repayment Schedule:</t>
  </si>
  <si>
    <t>Year</t>
  </si>
  <si>
    <t>Gross Profit (Rs)</t>
  </si>
  <si>
    <t>Principal (Rs)</t>
  </si>
  <si>
    <t>Interest (Rs)</t>
  </si>
  <si>
    <t>Installment (Rs)</t>
  </si>
  <si>
    <t>Nett. Income (Rs)</t>
  </si>
  <si>
    <t>I</t>
  </si>
  <si>
    <t>II</t>
  </si>
  <si>
    <t>III</t>
  </si>
  <si>
    <t>IV</t>
  </si>
  <si>
    <t>V</t>
  </si>
  <si>
    <t>VI</t>
  </si>
  <si>
    <t>VII</t>
  </si>
  <si>
    <t>VIII</t>
  </si>
  <si>
    <t xml:space="preserve">Cash Flow </t>
  </si>
  <si>
    <t>Present Value</t>
  </si>
  <si>
    <t>Discount Factor</t>
  </si>
  <si>
    <t>NPV</t>
  </si>
  <si>
    <t>IRR</t>
  </si>
  <si>
    <t>NPV &amp; IRR:</t>
  </si>
  <si>
    <t>CERTIFICATE</t>
  </si>
  <si>
    <t>The prices mentioned in this report are as per the prevailing market prices of the Respective items.</t>
  </si>
  <si>
    <t>The project is technically feasible and economically viable under proper care and Management by the entrepreneur.</t>
  </si>
  <si>
    <t>Lambing Percentage in first year (%)</t>
  </si>
  <si>
    <t>Lambing percentage from second year (%)</t>
  </si>
  <si>
    <t>Inter-Lambing period (Months)</t>
  </si>
  <si>
    <t>Sale of culled Rams (Rs)</t>
  </si>
  <si>
    <t>Sale of culled Ewes (Rs)</t>
  </si>
  <si>
    <t>Quantity of Concentrate per Adult per cycle (Kg)</t>
  </si>
  <si>
    <t xml:space="preserve">Quantity of Concentrate per Lamb per cycle (Kg) </t>
  </si>
  <si>
    <t>BCR</t>
  </si>
  <si>
    <t>Subsidy (Rs)</t>
  </si>
  <si>
    <t xml:space="preserve"> Benefits</t>
  </si>
  <si>
    <t>Costs</t>
  </si>
  <si>
    <t>APGB - Narpala</t>
  </si>
  <si>
    <t>Number of Rams proposed</t>
  </si>
  <si>
    <t>Hedge Lucerne</t>
  </si>
  <si>
    <t>Sale weight of Lambs (Kgs) (live wt)</t>
  </si>
  <si>
    <t>Sale price of Ram lambs (Rs/Kg) (live wt)</t>
  </si>
  <si>
    <t>Sale price of Ewe lambs (Rs/Kg) (live wt)</t>
  </si>
  <si>
    <t>closing stock value of breeding stock</t>
  </si>
  <si>
    <t>closing stock value of sheds</t>
  </si>
  <si>
    <t>Annual escalation of prices (%)</t>
  </si>
  <si>
    <t>Total  expenditure per cycle (Rs)</t>
  </si>
  <si>
    <t>Total  expenditure per Year (Rs)</t>
  </si>
  <si>
    <t>Recurring Expenditure:</t>
  </si>
  <si>
    <t>Total Recurring Expenditure (Rs)</t>
  </si>
  <si>
    <t>Number of Ram lambs for sale</t>
  </si>
  <si>
    <t xml:space="preserve">Number of Ewe lambs for sale </t>
  </si>
  <si>
    <t>number of fattened ram lambs sold</t>
  </si>
  <si>
    <t>number of fattened ewe lambs sold</t>
  </si>
  <si>
    <t>number of ewe lambs sold as breeding stock</t>
  </si>
  <si>
    <t>number of rams sold as breeding stock</t>
  </si>
  <si>
    <t xml:space="preserve">Sale of ewe lambs for breeding purpose (Rs) </t>
  </si>
  <si>
    <t xml:space="preserve">Sale of ram lambs for breeding purpose (Rs) </t>
  </si>
  <si>
    <t xml:space="preserve">Sale price of Ram lambs for breeding </t>
  </si>
  <si>
    <t>Sale price of Ewe lambs for breeding</t>
  </si>
  <si>
    <t>ADSCR</t>
  </si>
  <si>
    <t>DE Ratio</t>
  </si>
  <si>
    <t>Payback period (years)</t>
  </si>
  <si>
    <t>ROI</t>
  </si>
  <si>
    <t xml:space="preserve">BEP </t>
  </si>
  <si>
    <t>2-3 Years</t>
  </si>
  <si>
    <t>Salvage value of the project:</t>
  </si>
  <si>
    <t>Written down value of animals (Rs)</t>
  </si>
  <si>
    <t>Written down value of buildings (Rs)</t>
  </si>
  <si>
    <t>Written down value of equipments (Rs)</t>
  </si>
  <si>
    <t>Total Residual/salvage value (Rs)</t>
  </si>
  <si>
    <t>NPV: Nett Present Value</t>
  </si>
  <si>
    <t>IRR: Internal Rate of Returns</t>
  </si>
  <si>
    <t>BCR: Benefit Cost Ratio</t>
  </si>
  <si>
    <t>ADSCR: Average Debt Service Coverage Ratio</t>
  </si>
  <si>
    <t>DE Ratio: Debt Equity Ratio</t>
  </si>
  <si>
    <t>ROI: Return Of Investment</t>
  </si>
  <si>
    <t>BEP: Break Even Period</t>
  </si>
  <si>
    <t>closing stock value of equipment</t>
  </si>
  <si>
    <t xml:space="preserve"> +ve</t>
  </si>
  <si>
    <t>more than loan interest</t>
  </si>
  <si>
    <t>1.5 to 2</t>
  </si>
  <si>
    <t>1.25 or more</t>
  </si>
  <si>
    <t>below one is safe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</si>
</sst>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₹&quot;\ * #,##0.00_ ;_ &quot;₹&quot;\ * \-#,##0.00_ ;_ &quot;₹&quot;\ * &quot;-&quot;??_ ;_ @_ "/>
    <numFmt numFmtId="164" formatCode="_ &quot;₹&quot;\ * #,##0_ ;_ &quot;₹&quot;\ * \-#,##0_ ;_ &quot;₹&quot;\ * &quot;-&quot;??_ ;_ @_ "/>
    <numFmt numFmtId="165" formatCode="0.0"/>
    <numFmt numFmtId="166" formatCode="0.00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u/>
      <sz val="11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Tahoma"/>
      <family val="2"/>
    </font>
    <font>
      <sz val="11"/>
      <name val="Tahoma"/>
      <family val="2"/>
    </font>
    <font>
      <sz val="10"/>
      <color theme="1"/>
      <name val="Tahoma"/>
      <family val="2"/>
    </font>
    <font>
      <b/>
      <u/>
      <sz val="11"/>
      <color rgb="FF000000"/>
      <name val="Tahoma"/>
      <family val="2"/>
    </font>
    <font>
      <sz val="12"/>
      <color rgb="FF000000"/>
      <name val="Tahoma"/>
      <family val="2"/>
    </font>
    <font>
      <sz val="11"/>
      <color theme="0"/>
      <name val="Tahoma"/>
      <family val="2"/>
    </font>
    <font>
      <b/>
      <sz val="8"/>
      <color theme="1"/>
      <name val="Tahoma"/>
      <family val="2"/>
    </font>
    <font>
      <b/>
      <sz val="11"/>
      <name val="Tahoma"/>
      <family val="2"/>
    </font>
    <font>
      <b/>
      <sz val="9"/>
      <color theme="1"/>
      <name val="Tahoma"/>
      <family val="2"/>
    </font>
    <font>
      <sz val="9"/>
      <color theme="1"/>
      <name val="Tahoma"/>
      <family val="2"/>
    </font>
    <font>
      <sz val="16"/>
      <color theme="1"/>
      <name val="Calibri"/>
      <family val="2"/>
      <scheme val="minor"/>
    </font>
    <font>
      <sz val="12"/>
      <color theme="1"/>
      <name val="Tahoma"/>
      <family val="2"/>
    </font>
    <font>
      <b/>
      <sz val="12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right"/>
    </xf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1" fillId="0" borderId="1" xfId="0" applyFont="1" applyFill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/>
    </xf>
    <xf numFmtId="0" fontId="7" fillId="0" borderId="1" xfId="0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2" fillId="0" borderId="1" xfId="0" applyFont="1" applyBorder="1"/>
    <xf numFmtId="10" fontId="1" fillId="0" borderId="1" xfId="0" applyNumberFormat="1" applyFont="1" applyBorder="1"/>
    <xf numFmtId="1" fontId="0" fillId="0" borderId="1" xfId="0" applyNumberFormat="1" applyBorder="1" applyAlignment="1">
      <alignment horizontal="right"/>
    </xf>
    <xf numFmtId="1" fontId="1" fillId="0" borderId="1" xfId="0" applyNumberFormat="1" applyFont="1" applyBorder="1" applyAlignment="1">
      <alignment horizontal="right"/>
    </xf>
    <xf numFmtId="10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right" vertical="center"/>
    </xf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1" fontId="5" fillId="0" borderId="1" xfId="0" applyNumberFormat="1" applyFont="1" applyBorder="1"/>
    <xf numFmtId="0" fontId="4" fillId="0" borderId="1" xfId="0" applyFont="1" applyBorder="1"/>
    <xf numFmtId="1" fontId="1" fillId="0" borderId="1" xfId="0" applyNumberFormat="1" applyFont="1" applyBorder="1"/>
    <xf numFmtId="1" fontId="4" fillId="0" borderId="1" xfId="0" applyNumberFormat="1" applyFont="1" applyBorder="1" applyAlignment="1">
      <alignment horizontal="right"/>
    </xf>
    <xf numFmtId="1" fontId="4" fillId="0" borderId="1" xfId="0" applyNumberFormat="1" applyFont="1" applyBorder="1"/>
    <xf numFmtId="0" fontId="5" fillId="0" borderId="0" xfId="0" applyFont="1" applyAlignment="1">
      <alignment horizontal="center" vertical="center" wrapText="1"/>
    </xf>
    <xf numFmtId="164" fontId="0" fillId="0" borderId="0" xfId="0" applyNumberForma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/>
    <xf numFmtId="164" fontId="9" fillId="0" borderId="1" xfId="0" applyNumberFormat="1" applyFont="1" applyBorder="1"/>
    <xf numFmtId="9" fontId="1" fillId="0" borderId="1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top"/>
    </xf>
    <xf numFmtId="0" fontId="1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10" fillId="0" borderId="0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 wrapText="1"/>
    </xf>
    <xf numFmtId="1" fontId="0" fillId="0" borderId="0" xfId="0" applyNumberFormat="1"/>
    <xf numFmtId="1" fontId="2" fillId="0" borderId="1" xfId="0" applyNumberFormat="1" applyFont="1" applyBorder="1"/>
    <xf numFmtId="1" fontId="12" fillId="0" borderId="1" xfId="0" applyNumberFormat="1" applyFont="1" applyBorder="1"/>
    <xf numFmtId="2" fontId="1" fillId="0" borderId="1" xfId="0" applyNumberFormat="1" applyFont="1" applyBorder="1"/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164" fontId="13" fillId="0" borderId="1" xfId="0" applyNumberFormat="1" applyFont="1" applyBorder="1"/>
    <xf numFmtId="0" fontId="14" fillId="0" borderId="1" xfId="0" applyFont="1" applyBorder="1" applyAlignment="1">
      <alignment horizontal="right" vertical="center"/>
    </xf>
    <xf numFmtId="165" fontId="8" fillId="0" borderId="1" xfId="0" applyNumberFormat="1" applyFont="1" applyBorder="1" applyAlignment="1">
      <alignment horizontal="right"/>
    </xf>
    <xf numFmtId="9" fontId="0" fillId="0" borderId="0" xfId="0" applyNumberFormat="1"/>
    <xf numFmtId="0" fontId="11" fillId="0" borderId="0" xfId="0" applyFont="1" applyFill="1" applyBorder="1" applyAlignment="1">
      <alignment horizontal="left" vertical="top" wrapText="1"/>
    </xf>
    <xf numFmtId="1" fontId="15" fillId="0" borderId="1" xfId="0" applyNumberFormat="1" applyFont="1" applyBorder="1" applyAlignment="1">
      <alignment horizontal="right"/>
    </xf>
    <xf numFmtId="1" fontId="13" fillId="0" borderId="1" xfId="0" applyNumberFormat="1" applyFont="1" applyBorder="1" applyAlignment="1">
      <alignment horizontal="right"/>
    </xf>
    <xf numFmtId="1" fontId="15" fillId="0" borderId="1" xfId="0" applyNumberFormat="1" applyFont="1" applyBorder="1"/>
    <xf numFmtId="164" fontId="16" fillId="0" borderId="1" xfId="0" applyNumberFormat="1" applyFont="1" applyBorder="1"/>
    <xf numFmtId="164" fontId="15" fillId="0" borderId="1" xfId="0" applyNumberFormat="1" applyFont="1" applyBorder="1"/>
    <xf numFmtId="0" fontId="17" fillId="0" borderId="0" xfId="0" applyFont="1"/>
    <xf numFmtId="9" fontId="17" fillId="0" borderId="0" xfId="0" applyNumberFormat="1" applyFont="1"/>
    <xf numFmtId="164" fontId="1" fillId="0" borderId="1" xfId="0" applyNumberFormat="1" applyFont="1" applyBorder="1"/>
    <xf numFmtId="0" fontId="11" fillId="0" borderId="0" xfId="0" applyFont="1" applyFill="1" applyBorder="1" applyAlignment="1">
      <alignment horizontal="left" vertical="top" wrapText="1"/>
    </xf>
    <xf numFmtId="0" fontId="13" fillId="0" borderId="1" xfId="0" applyFont="1" applyBorder="1" applyAlignment="1">
      <alignment vertical="center" wrapText="1"/>
    </xf>
    <xf numFmtId="9" fontId="0" fillId="0" borderId="1" xfId="0" applyNumberFormat="1" applyBorder="1"/>
    <xf numFmtId="9" fontId="1" fillId="0" borderId="1" xfId="0" applyNumberFormat="1" applyFont="1" applyBorder="1" applyAlignment="1">
      <alignment horizontal="right" vertical="center"/>
    </xf>
    <xf numFmtId="166" fontId="0" fillId="0" borderId="1" xfId="0" applyNumberFormat="1" applyBorder="1"/>
    <xf numFmtId="10" fontId="0" fillId="0" borderId="1" xfId="0" applyNumberFormat="1" applyBorder="1"/>
    <xf numFmtId="0" fontId="18" fillId="0" borderId="1" xfId="0" applyNumberFormat="1" applyFont="1" applyBorder="1"/>
    <xf numFmtId="0" fontId="18" fillId="0" borderId="1" xfId="0" applyFont="1" applyBorder="1"/>
    <xf numFmtId="9" fontId="18" fillId="0" borderId="1" xfId="0" applyNumberFormat="1" applyFont="1" applyBorder="1"/>
    <xf numFmtId="1" fontId="18" fillId="0" borderId="1" xfId="0" applyNumberFormat="1" applyFont="1" applyBorder="1"/>
    <xf numFmtId="0" fontId="19" fillId="0" borderId="1" xfId="0" applyFont="1" applyBorder="1"/>
    <xf numFmtId="0" fontId="0" fillId="0" borderId="1" xfId="0" applyBorder="1" applyAlignment="1">
      <alignment horizontal="right" indent="1"/>
    </xf>
    <xf numFmtId="44" fontId="11" fillId="0" borderId="0" xfId="0" applyNumberFormat="1" applyFont="1" applyFill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1" xfId="0" applyBorder="1" applyAlignment="1">
      <alignment horizontal="center"/>
    </xf>
    <xf numFmtId="0" fontId="11" fillId="0" borderId="0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1" fillId="0" borderId="0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4"/>
  <sheetViews>
    <sheetView topLeftCell="A18" zoomScale="120" zoomScaleNormal="120" workbookViewId="0">
      <selection activeCell="G32" sqref="G32"/>
    </sheetView>
  </sheetViews>
  <sheetFormatPr defaultRowHeight="21.75" customHeight="1" x14ac:dyDescent="0.25"/>
  <cols>
    <col min="1" max="1" width="3.85546875" customWidth="1"/>
    <col min="5" max="5" width="11.85546875" customWidth="1"/>
    <col min="6" max="6" width="35.42578125" customWidth="1"/>
  </cols>
  <sheetData>
    <row r="2" spans="1:6" ht="21.75" customHeight="1" x14ac:dyDescent="0.25">
      <c r="B2" s="75" t="s">
        <v>0</v>
      </c>
      <c r="C2" s="75"/>
      <c r="D2" s="75"/>
      <c r="E2" s="75"/>
      <c r="F2" s="75"/>
    </row>
    <row r="4" spans="1:6" ht="21.75" customHeight="1" x14ac:dyDescent="0.25">
      <c r="B4" s="76" t="s">
        <v>1</v>
      </c>
      <c r="C4" s="76"/>
    </row>
    <row r="5" spans="1:6" ht="21.75" customHeight="1" x14ac:dyDescent="0.25">
      <c r="B5" s="79"/>
      <c r="C5" s="80"/>
      <c r="D5" s="80"/>
      <c r="E5" s="81"/>
    </row>
    <row r="6" spans="1:6" ht="21.75" customHeight="1" x14ac:dyDescent="0.25">
      <c r="B6" s="82"/>
      <c r="C6" s="83"/>
      <c r="D6" s="83"/>
      <c r="E6" s="84"/>
    </row>
    <row r="7" spans="1:6" ht="21.75" customHeight="1" x14ac:dyDescent="0.25">
      <c r="B7" s="82"/>
      <c r="C7" s="83"/>
      <c r="D7" s="83"/>
      <c r="E7" s="84"/>
    </row>
    <row r="8" spans="1:6" ht="21.75" customHeight="1" x14ac:dyDescent="0.25">
      <c r="B8" s="82"/>
      <c r="C8" s="83"/>
      <c r="D8" s="83"/>
      <c r="E8" s="84"/>
    </row>
    <row r="9" spans="1:6" ht="21.75" customHeight="1" x14ac:dyDescent="0.25">
      <c r="B9" s="85"/>
      <c r="C9" s="86"/>
      <c r="D9" s="86"/>
      <c r="E9" s="87"/>
    </row>
    <row r="11" spans="1:6" ht="21.75" customHeight="1" x14ac:dyDescent="0.25">
      <c r="A11" s="2"/>
      <c r="B11" s="78" t="s">
        <v>58</v>
      </c>
      <c r="C11" s="78"/>
      <c r="D11" s="78"/>
      <c r="E11" s="78"/>
    </row>
    <row r="12" spans="1:6" ht="21.75" customHeight="1" x14ac:dyDescent="0.25">
      <c r="A12" s="3">
        <v>1</v>
      </c>
      <c r="B12" s="77" t="s">
        <v>2</v>
      </c>
      <c r="C12" s="77"/>
      <c r="D12" s="77"/>
      <c r="E12" s="77"/>
      <c r="F12" s="10"/>
    </row>
    <row r="13" spans="1:6" ht="21.75" customHeight="1" x14ac:dyDescent="0.25">
      <c r="A13" s="3">
        <v>2</v>
      </c>
      <c r="B13" s="77" t="s">
        <v>3</v>
      </c>
      <c r="C13" s="77"/>
      <c r="D13" s="77"/>
      <c r="E13" s="77"/>
      <c r="F13" s="10"/>
    </row>
    <row r="14" spans="1:6" ht="21.75" customHeight="1" x14ac:dyDescent="0.25">
      <c r="A14" s="3">
        <v>3</v>
      </c>
      <c r="B14" s="77" t="s">
        <v>4</v>
      </c>
      <c r="C14" s="77"/>
      <c r="D14" s="77"/>
      <c r="E14" s="77"/>
      <c r="F14" s="10"/>
    </row>
    <row r="15" spans="1:6" ht="21.75" customHeight="1" x14ac:dyDescent="0.25">
      <c r="A15" s="3">
        <v>4</v>
      </c>
      <c r="B15" s="77" t="s">
        <v>5</v>
      </c>
      <c r="C15" s="77"/>
      <c r="D15" s="77"/>
      <c r="E15" s="77"/>
      <c r="F15" s="10"/>
    </row>
    <row r="16" spans="1:6" ht="21.75" customHeight="1" x14ac:dyDescent="0.25">
      <c r="A16" s="3">
        <v>5</v>
      </c>
      <c r="B16" s="77" t="s">
        <v>6</v>
      </c>
      <c r="C16" s="77"/>
      <c r="D16" s="77"/>
      <c r="E16" s="77"/>
      <c r="F16" s="10"/>
    </row>
    <row r="17" spans="1:7" ht="21.75" customHeight="1" x14ac:dyDescent="0.25">
      <c r="A17" s="3">
        <v>6</v>
      </c>
      <c r="B17" s="77" t="s">
        <v>7</v>
      </c>
      <c r="C17" s="77"/>
      <c r="D17" s="77"/>
      <c r="E17" s="77"/>
      <c r="F17" s="12"/>
    </row>
    <row r="18" spans="1:7" ht="21.75" customHeight="1" x14ac:dyDescent="0.25">
      <c r="A18" s="3">
        <v>7</v>
      </c>
      <c r="B18" s="77" t="s">
        <v>8</v>
      </c>
      <c r="C18" s="77"/>
      <c r="D18" s="77"/>
      <c r="E18" s="77"/>
      <c r="F18" s="10"/>
    </row>
    <row r="19" spans="1:7" ht="21.75" customHeight="1" x14ac:dyDescent="0.25">
      <c r="A19" s="3">
        <v>8</v>
      </c>
      <c r="B19" s="77" t="s">
        <v>9</v>
      </c>
      <c r="C19" s="77"/>
      <c r="D19" s="77"/>
      <c r="E19" s="77"/>
      <c r="F19" s="21">
        <v>100</v>
      </c>
    </row>
    <row r="20" spans="1:7" ht="21.75" customHeight="1" x14ac:dyDescent="0.25">
      <c r="A20" s="3">
        <v>9</v>
      </c>
      <c r="B20" s="77" t="s">
        <v>182</v>
      </c>
      <c r="C20" s="77"/>
      <c r="D20" s="77"/>
      <c r="E20" s="77"/>
      <c r="F20" s="50">
        <f>F19/20</f>
        <v>5</v>
      </c>
    </row>
    <row r="21" spans="1:7" ht="21.75" customHeight="1" x14ac:dyDescent="0.25">
      <c r="A21" s="3">
        <v>10</v>
      </c>
      <c r="B21" s="77" t="s">
        <v>10</v>
      </c>
      <c r="C21" s="77"/>
      <c r="D21" s="77"/>
      <c r="E21" s="77"/>
      <c r="F21" s="3" t="s">
        <v>82</v>
      </c>
    </row>
    <row r="22" spans="1:7" ht="21.75" customHeight="1" x14ac:dyDescent="0.25">
      <c r="A22" s="3">
        <v>11</v>
      </c>
      <c r="B22" s="77" t="s">
        <v>11</v>
      </c>
      <c r="C22" s="77"/>
      <c r="D22" s="77"/>
      <c r="E22" s="77"/>
      <c r="F22" s="19">
        <f>expenditure!H35</f>
        <v>2386216.6666666665</v>
      </c>
    </row>
    <row r="23" spans="1:7" ht="21.75" customHeight="1" x14ac:dyDescent="0.25">
      <c r="A23" s="3">
        <v>12</v>
      </c>
      <c r="B23" s="77" t="s">
        <v>12</v>
      </c>
      <c r="C23" s="77"/>
      <c r="D23" s="77"/>
      <c r="E23" s="77"/>
      <c r="F23" s="19">
        <f>F22/10</f>
        <v>238621.66666666666</v>
      </c>
    </row>
    <row r="24" spans="1:7" ht="21.75" customHeight="1" x14ac:dyDescent="0.25">
      <c r="A24" s="3">
        <v>13</v>
      </c>
      <c r="B24" s="77" t="s">
        <v>13</v>
      </c>
      <c r="C24" s="77"/>
      <c r="D24" s="77"/>
      <c r="E24" s="77"/>
      <c r="F24" s="19">
        <f>F22-F23</f>
        <v>2147595</v>
      </c>
    </row>
    <row r="25" spans="1:7" ht="21.75" customHeight="1" x14ac:dyDescent="0.25">
      <c r="A25" s="3">
        <v>14</v>
      </c>
      <c r="B25" s="77" t="s">
        <v>14</v>
      </c>
      <c r="C25" s="77"/>
      <c r="D25" s="77"/>
      <c r="E25" s="77"/>
      <c r="F25" s="11" t="s">
        <v>181</v>
      </c>
    </row>
    <row r="26" spans="1:7" ht="21.75" customHeight="1" x14ac:dyDescent="0.25">
      <c r="A26" s="3">
        <v>15</v>
      </c>
      <c r="B26" s="77" t="s">
        <v>15</v>
      </c>
      <c r="C26" s="77"/>
      <c r="D26" s="77"/>
      <c r="E26" s="77"/>
      <c r="F26" s="20">
        <v>0.12</v>
      </c>
    </row>
    <row r="27" spans="1:7" ht="21.75" customHeight="1" x14ac:dyDescent="0.25">
      <c r="A27" s="3">
        <v>16</v>
      </c>
      <c r="B27" s="77" t="s">
        <v>16</v>
      </c>
      <c r="C27" s="77"/>
      <c r="D27" s="77"/>
      <c r="E27" s="77"/>
      <c r="F27" s="14">
        <v>7</v>
      </c>
    </row>
    <row r="28" spans="1:7" ht="21.75" customHeight="1" x14ac:dyDescent="0.25">
      <c r="A28" s="3">
        <v>17</v>
      </c>
      <c r="B28" s="77" t="s">
        <v>17</v>
      </c>
      <c r="C28" s="77"/>
      <c r="D28" s="77"/>
      <c r="E28" s="77"/>
      <c r="F28" s="14"/>
    </row>
    <row r="29" spans="1:7" ht="21.75" customHeight="1" x14ac:dyDescent="0.25">
      <c r="A29" s="3">
        <v>18</v>
      </c>
      <c r="B29" s="77" t="s">
        <v>18</v>
      </c>
      <c r="C29" s="77"/>
      <c r="D29" s="77"/>
      <c r="E29" s="77"/>
      <c r="F29" s="20">
        <v>0</v>
      </c>
      <c r="G29" s="43">
        <f>F22*F29</f>
        <v>0</v>
      </c>
    </row>
    <row r="30" spans="1:7" ht="21.75" customHeight="1" x14ac:dyDescent="0.25">
      <c r="A30" s="3">
        <v>19</v>
      </c>
      <c r="B30" s="77" t="s">
        <v>19</v>
      </c>
      <c r="C30" s="77"/>
      <c r="D30" s="77"/>
      <c r="E30" s="77"/>
      <c r="F30" s="14">
        <v>0</v>
      </c>
    </row>
    <row r="31" spans="1:7" ht="21.75" customHeight="1" x14ac:dyDescent="0.25">
      <c r="A31" s="3">
        <v>20</v>
      </c>
      <c r="B31" s="77" t="s">
        <v>37</v>
      </c>
      <c r="C31" s="77"/>
      <c r="D31" s="77"/>
      <c r="E31" s="77"/>
      <c r="F31" s="14">
        <f>F19/100</f>
        <v>1</v>
      </c>
    </row>
    <row r="32" spans="1:7" ht="21.75" customHeight="1" x14ac:dyDescent="0.25">
      <c r="A32" s="3">
        <v>21</v>
      </c>
      <c r="B32" s="77" t="s">
        <v>51</v>
      </c>
      <c r="C32" s="77"/>
      <c r="D32" s="77"/>
      <c r="E32" s="77"/>
      <c r="F32" s="14">
        <f>F19/100</f>
        <v>1</v>
      </c>
    </row>
    <row r="33" spans="1:6" ht="21.75" customHeight="1" x14ac:dyDescent="0.25">
      <c r="A33" s="3">
        <v>22</v>
      </c>
      <c r="B33" s="77" t="s">
        <v>56</v>
      </c>
      <c r="C33" s="77"/>
      <c r="D33" s="77"/>
      <c r="E33" s="77"/>
      <c r="F33" s="14" t="s">
        <v>183</v>
      </c>
    </row>
    <row r="34" spans="1:6" ht="21.75" customHeight="1" x14ac:dyDescent="0.25">
      <c r="A34" s="3">
        <v>23</v>
      </c>
      <c r="B34" s="77" t="s">
        <v>57</v>
      </c>
      <c r="C34" s="77"/>
      <c r="D34" s="77"/>
      <c r="E34" s="77"/>
      <c r="F34" s="14" t="s">
        <v>83</v>
      </c>
    </row>
  </sheetData>
  <mergeCells count="31">
    <mergeCell ref="B33:E33"/>
    <mergeCell ref="B34:E34"/>
    <mergeCell ref="B29:E29"/>
    <mergeCell ref="B30:E30"/>
    <mergeCell ref="B7:E7"/>
    <mergeCell ref="B8:E8"/>
    <mergeCell ref="B9:E9"/>
    <mergeCell ref="B31:E31"/>
    <mergeCell ref="B32:E32"/>
    <mergeCell ref="B24:E24"/>
    <mergeCell ref="B25:E25"/>
    <mergeCell ref="B26:E26"/>
    <mergeCell ref="B27:E27"/>
    <mergeCell ref="B28:E28"/>
    <mergeCell ref="B20:E20"/>
    <mergeCell ref="B2:F2"/>
    <mergeCell ref="B4:C4"/>
    <mergeCell ref="B23:E23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1:E21"/>
    <mergeCell ref="B22:E22"/>
    <mergeCell ref="B5:E5"/>
    <mergeCell ref="B6:E6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opLeftCell="A10" zoomScale="120" zoomScaleNormal="120" workbookViewId="0">
      <selection activeCell="H18" sqref="H18"/>
    </sheetView>
  </sheetViews>
  <sheetFormatPr defaultRowHeight="18.75" customHeight="1" x14ac:dyDescent="0.2"/>
  <cols>
    <col min="1" max="1" width="3.7109375" style="1" customWidth="1"/>
    <col min="2" max="6" width="9.140625" style="1"/>
    <col min="7" max="7" width="7" style="1" customWidth="1"/>
    <col min="8" max="8" width="23.7109375" style="1" customWidth="1"/>
    <col min="9" max="16384" width="9.140625" style="1"/>
  </cols>
  <sheetData>
    <row r="1" spans="1:8" ht="18.75" customHeight="1" x14ac:dyDescent="0.2">
      <c r="B1" s="78" t="s">
        <v>20</v>
      </c>
      <c r="C1" s="78"/>
      <c r="D1" s="78"/>
      <c r="E1" s="78"/>
      <c r="F1" s="78"/>
      <c r="G1" s="78"/>
    </row>
    <row r="2" spans="1:8" ht="18.75" customHeight="1" x14ac:dyDescent="0.2">
      <c r="A2" s="5">
        <v>1</v>
      </c>
      <c r="B2" s="77" t="s">
        <v>21</v>
      </c>
      <c r="C2" s="77"/>
      <c r="D2" s="77"/>
      <c r="E2" s="77"/>
      <c r="F2" s="77"/>
      <c r="G2" s="77"/>
      <c r="H2" s="3">
        <f>overview!F19</f>
        <v>100</v>
      </c>
    </row>
    <row r="3" spans="1:8" ht="18.75" customHeight="1" x14ac:dyDescent="0.2">
      <c r="A3" s="5">
        <v>2</v>
      </c>
      <c r="B3" s="77" t="s">
        <v>22</v>
      </c>
      <c r="C3" s="77"/>
      <c r="D3" s="77"/>
      <c r="E3" s="77"/>
      <c r="F3" s="77"/>
      <c r="G3" s="77"/>
      <c r="H3" s="14">
        <v>10000</v>
      </c>
    </row>
    <row r="4" spans="1:8" ht="18.75" customHeight="1" x14ac:dyDescent="0.2">
      <c r="A4" s="5">
        <v>3</v>
      </c>
      <c r="B4" s="77" t="s">
        <v>23</v>
      </c>
      <c r="C4" s="77"/>
      <c r="D4" s="77"/>
      <c r="E4" s="77"/>
      <c r="F4" s="77"/>
      <c r="G4" s="77"/>
      <c r="H4" s="3">
        <f>(H2/20)</f>
        <v>5</v>
      </c>
    </row>
    <row r="5" spans="1:8" ht="18.75" customHeight="1" x14ac:dyDescent="0.2">
      <c r="A5" s="5">
        <v>4</v>
      </c>
      <c r="B5" s="77" t="s">
        <v>24</v>
      </c>
      <c r="C5" s="77"/>
      <c r="D5" s="77"/>
      <c r="E5" s="77"/>
      <c r="F5" s="77"/>
      <c r="G5" s="77"/>
      <c r="H5" s="14">
        <v>20000</v>
      </c>
    </row>
    <row r="6" spans="1:8" ht="18.75" customHeight="1" x14ac:dyDescent="0.2">
      <c r="A6" s="5">
        <v>5</v>
      </c>
      <c r="B6" s="77" t="s">
        <v>25</v>
      </c>
      <c r="C6" s="77"/>
      <c r="D6" s="77"/>
      <c r="E6" s="77"/>
      <c r="F6" s="77"/>
      <c r="G6" s="77"/>
      <c r="H6" s="3">
        <v>240</v>
      </c>
    </row>
    <row r="7" spans="1:8" ht="18.75" customHeight="1" x14ac:dyDescent="0.2">
      <c r="A7" s="5">
        <v>6</v>
      </c>
      <c r="B7" s="77" t="s">
        <v>59</v>
      </c>
      <c r="C7" s="77"/>
      <c r="D7" s="77"/>
      <c r="E7" s="77"/>
      <c r="F7" s="77"/>
      <c r="G7" s="77"/>
      <c r="H7" s="3">
        <v>1.5</v>
      </c>
    </row>
    <row r="8" spans="1:8" ht="18.75" customHeight="1" x14ac:dyDescent="0.2">
      <c r="A8" s="5">
        <v>7</v>
      </c>
      <c r="B8" s="77" t="s">
        <v>26</v>
      </c>
      <c r="C8" s="77"/>
      <c r="D8" s="77"/>
      <c r="E8" s="77"/>
      <c r="F8" s="77"/>
      <c r="G8" s="77"/>
      <c r="H8" s="3">
        <v>3</v>
      </c>
    </row>
    <row r="9" spans="1:8" ht="18.75" customHeight="1" x14ac:dyDescent="0.2">
      <c r="A9" s="5">
        <v>8</v>
      </c>
      <c r="B9" s="77" t="s">
        <v>170</v>
      </c>
      <c r="C9" s="77"/>
      <c r="D9" s="77"/>
      <c r="E9" s="77"/>
      <c r="F9" s="77"/>
      <c r="G9" s="77"/>
      <c r="H9" s="13">
        <v>0.9</v>
      </c>
    </row>
    <row r="10" spans="1:8" ht="18.75" customHeight="1" x14ac:dyDescent="0.2">
      <c r="A10" s="5">
        <v>9</v>
      </c>
      <c r="B10" s="88" t="s">
        <v>171</v>
      </c>
      <c r="C10" s="89"/>
      <c r="D10" s="89"/>
      <c r="E10" s="89"/>
      <c r="F10" s="89"/>
      <c r="G10" s="90"/>
      <c r="H10" s="13">
        <v>0.9</v>
      </c>
    </row>
    <row r="11" spans="1:8" ht="18.75" customHeight="1" x14ac:dyDescent="0.2">
      <c r="A11" s="5">
        <v>10</v>
      </c>
      <c r="B11" s="88" t="s">
        <v>172</v>
      </c>
      <c r="C11" s="89"/>
      <c r="D11" s="89"/>
      <c r="E11" s="89"/>
      <c r="F11" s="89"/>
      <c r="G11" s="90"/>
      <c r="H11" s="38">
        <v>8</v>
      </c>
    </row>
    <row r="12" spans="1:8" ht="18.75" customHeight="1" x14ac:dyDescent="0.2">
      <c r="A12" s="5">
        <v>11</v>
      </c>
      <c r="B12" s="77" t="s">
        <v>27</v>
      </c>
      <c r="C12" s="77"/>
      <c r="D12" s="77"/>
      <c r="E12" s="77"/>
      <c r="F12" s="77"/>
      <c r="G12" s="77"/>
      <c r="H12" s="13">
        <v>0.1</v>
      </c>
    </row>
    <row r="13" spans="1:8" ht="18.75" customHeight="1" x14ac:dyDescent="0.2">
      <c r="A13" s="5">
        <v>12</v>
      </c>
      <c r="B13" s="77" t="s">
        <v>29</v>
      </c>
      <c r="C13" s="77"/>
      <c r="D13" s="77"/>
      <c r="E13" s="77"/>
      <c r="F13" s="77"/>
      <c r="G13" s="77"/>
      <c r="H13" s="13">
        <v>0.5</v>
      </c>
    </row>
    <row r="14" spans="1:8" ht="18.75" customHeight="1" x14ac:dyDescent="0.2">
      <c r="A14" s="5">
        <v>13</v>
      </c>
      <c r="B14" s="77" t="s">
        <v>28</v>
      </c>
      <c r="C14" s="77"/>
      <c r="D14" s="77"/>
      <c r="E14" s="77"/>
      <c r="F14" s="77"/>
      <c r="G14" s="77"/>
      <c r="H14" s="13">
        <v>0.5</v>
      </c>
    </row>
    <row r="15" spans="1:8" ht="18.75" customHeight="1" x14ac:dyDescent="0.2">
      <c r="A15" s="5">
        <v>14</v>
      </c>
      <c r="B15" s="88" t="s">
        <v>84</v>
      </c>
      <c r="C15" s="89"/>
      <c r="D15" s="89"/>
      <c r="E15" s="89"/>
      <c r="F15" s="89"/>
      <c r="G15" s="90"/>
      <c r="H15" s="3">
        <v>3</v>
      </c>
    </row>
    <row r="16" spans="1:8" ht="18.75" customHeight="1" x14ac:dyDescent="0.2">
      <c r="A16" s="5">
        <v>15</v>
      </c>
      <c r="B16" s="77" t="s">
        <v>31</v>
      </c>
      <c r="C16" s="77"/>
      <c r="D16" s="77"/>
      <c r="E16" s="77"/>
      <c r="F16" s="77"/>
      <c r="G16" s="77"/>
      <c r="H16" s="3">
        <v>1.5</v>
      </c>
    </row>
    <row r="17" spans="1:8" ht="18.75" customHeight="1" x14ac:dyDescent="0.2">
      <c r="A17" s="5">
        <v>16</v>
      </c>
      <c r="B17" s="77" t="s">
        <v>30</v>
      </c>
      <c r="C17" s="77"/>
      <c r="D17" s="77"/>
      <c r="E17" s="77"/>
      <c r="F17" s="77"/>
      <c r="G17" s="77"/>
      <c r="H17" s="3">
        <v>180</v>
      </c>
    </row>
    <row r="18" spans="1:8" ht="18.75" customHeight="1" x14ac:dyDescent="0.2">
      <c r="A18" s="5">
        <v>17</v>
      </c>
      <c r="B18" s="77" t="s">
        <v>184</v>
      </c>
      <c r="C18" s="77"/>
      <c r="D18" s="77"/>
      <c r="E18" s="77"/>
      <c r="F18" s="77"/>
      <c r="G18" s="77"/>
      <c r="H18" s="3">
        <v>30</v>
      </c>
    </row>
    <row r="19" spans="1:8" ht="18.75" customHeight="1" x14ac:dyDescent="0.2">
      <c r="A19" s="5">
        <v>18</v>
      </c>
      <c r="B19" s="77" t="s">
        <v>185</v>
      </c>
      <c r="C19" s="77"/>
      <c r="D19" s="77"/>
      <c r="E19" s="77"/>
      <c r="F19" s="77"/>
      <c r="G19" s="77"/>
      <c r="H19" s="14">
        <v>400</v>
      </c>
    </row>
    <row r="20" spans="1:8" ht="18.75" customHeight="1" x14ac:dyDescent="0.2">
      <c r="A20" s="5">
        <v>19</v>
      </c>
      <c r="B20" s="77" t="s">
        <v>186</v>
      </c>
      <c r="C20" s="77"/>
      <c r="D20" s="77"/>
      <c r="E20" s="77"/>
      <c r="F20" s="77"/>
      <c r="G20" s="77"/>
      <c r="H20" s="14">
        <v>375</v>
      </c>
    </row>
    <row r="21" spans="1:8" ht="18.75" customHeight="1" x14ac:dyDescent="0.2">
      <c r="A21" s="5">
        <v>20</v>
      </c>
      <c r="B21" s="77" t="s">
        <v>202</v>
      </c>
      <c r="C21" s="77"/>
      <c r="D21" s="77"/>
      <c r="E21" s="77"/>
      <c r="F21" s="77"/>
      <c r="G21" s="77"/>
      <c r="H21" s="14">
        <v>16000</v>
      </c>
    </row>
    <row r="22" spans="1:8" ht="18.75" customHeight="1" x14ac:dyDescent="0.2">
      <c r="A22" s="5">
        <v>21</v>
      </c>
      <c r="B22" s="77" t="s">
        <v>203</v>
      </c>
      <c r="C22" s="77"/>
      <c r="D22" s="77"/>
      <c r="E22" s="77"/>
      <c r="F22" s="77"/>
      <c r="G22" s="77"/>
      <c r="H22" s="14">
        <v>14000</v>
      </c>
    </row>
    <row r="23" spans="1:8" ht="18.75" customHeight="1" x14ac:dyDescent="0.2">
      <c r="A23" s="5">
        <v>22</v>
      </c>
      <c r="B23" s="77" t="s">
        <v>32</v>
      </c>
      <c r="C23" s="77"/>
      <c r="D23" s="77"/>
      <c r="E23" s="77"/>
      <c r="F23" s="77"/>
      <c r="G23" s="77"/>
      <c r="H23" s="13">
        <v>0.05</v>
      </c>
    </row>
    <row r="24" spans="1:8" ht="18.75" customHeight="1" x14ac:dyDescent="0.2">
      <c r="A24" s="5">
        <v>23</v>
      </c>
      <c r="B24" s="77" t="s">
        <v>80</v>
      </c>
      <c r="C24" s="77"/>
      <c r="D24" s="77"/>
      <c r="E24" s="77"/>
      <c r="F24" s="77"/>
      <c r="G24" s="77"/>
      <c r="H24" s="13">
        <v>0.05</v>
      </c>
    </row>
    <row r="25" spans="1:8" ht="18.75" customHeight="1" x14ac:dyDescent="0.2">
      <c r="A25" s="5">
        <v>24</v>
      </c>
      <c r="B25" s="77" t="s">
        <v>81</v>
      </c>
      <c r="C25" s="77"/>
      <c r="D25" s="77"/>
      <c r="E25" s="77"/>
      <c r="F25" s="77"/>
      <c r="G25" s="77"/>
      <c r="H25" s="13">
        <v>0.02</v>
      </c>
    </row>
    <row r="26" spans="1:8" ht="18.75" customHeight="1" x14ac:dyDescent="0.2">
      <c r="A26" s="5">
        <v>25</v>
      </c>
      <c r="B26" s="77" t="s">
        <v>33</v>
      </c>
      <c r="C26" s="77"/>
      <c r="D26" s="77"/>
      <c r="E26" s="77"/>
      <c r="F26" s="77"/>
      <c r="G26" s="77"/>
      <c r="H26" s="3">
        <v>10</v>
      </c>
    </row>
    <row r="27" spans="1:8" ht="18.75" customHeight="1" x14ac:dyDescent="0.2">
      <c r="A27" s="5">
        <v>26</v>
      </c>
      <c r="B27" s="77" t="s">
        <v>34</v>
      </c>
      <c r="C27" s="77"/>
      <c r="D27" s="77"/>
      <c r="E27" s="77"/>
      <c r="F27" s="77"/>
      <c r="G27" s="77"/>
      <c r="H27" s="3">
        <v>15</v>
      </c>
    </row>
    <row r="28" spans="1:8" ht="18.75" customHeight="1" x14ac:dyDescent="0.2">
      <c r="A28" s="5">
        <v>27</v>
      </c>
      <c r="B28" s="77" t="s">
        <v>35</v>
      </c>
      <c r="C28" s="77"/>
      <c r="D28" s="77"/>
      <c r="E28" s="77"/>
      <c r="F28" s="77"/>
      <c r="G28" s="77"/>
      <c r="H28" s="3">
        <v>5</v>
      </c>
    </row>
    <row r="29" spans="1:8" ht="18.75" customHeight="1" x14ac:dyDescent="0.2">
      <c r="A29" s="5">
        <v>28</v>
      </c>
      <c r="B29" s="77" t="s">
        <v>36</v>
      </c>
      <c r="C29" s="77"/>
      <c r="D29" s="77"/>
      <c r="E29" s="77"/>
      <c r="F29" s="77"/>
      <c r="G29" s="77"/>
      <c r="H29" s="14">
        <v>400</v>
      </c>
    </row>
    <row r="30" spans="1:8" ht="18.75" customHeight="1" x14ac:dyDescent="0.2">
      <c r="A30" s="5">
        <v>29</v>
      </c>
      <c r="B30" s="77" t="s">
        <v>38</v>
      </c>
      <c r="C30" s="77"/>
      <c r="D30" s="77"/>
      <c r="E30" s="77"/>
      <c r="F30" s="77"/>
      <c r="G30" s="77"/>
      <c r="H30" s="14">
        <v>18000</v>
      </c>
    </row>
    <row r="31" spans="1:8" ht="18.75" customHeight="1" x14ac:dyDescent="0.2">
      <c r="A31" s="5">
        <v>30</v>
      </c>
      <c r="B31" s="77" t="s">
        <v>175</v>
      </c>
      <c r="C31" s="77"/>
      <c r="D31" s="77"/>
      <c r="E31" s="77"/>
      <c r="F31" s="77"/>
      <c r="G31" s="77"/>
      <c r="H31" s="3">
        <v>30</v>
      </c>
    </row>
    <row r="32" spans="1:8" ht="18.75" customHeight="1" x14ac:dyDescent="0.2">
      <c r="A32" s="5">
        <v>31</v>
      </c>
      <c r="B32" s="77" t="s">
        <v>176</v>
      </c>
      <c r="C32" s="77"/>
      <c r="D32" s="77"/>
      <c r="E32" s="77"/>
      <c r="F32" s="77"/>
      <c r="G32" s="77"/>
      <c r="H32" s="3">
        <v>12</v>
      </c>
    </row>
    <row r="33" spans="1:8" ht="18.75" customHeight="1" x14ac:dyDescent="0.2">
      <c r="A33" s="5">
        <v>32</v>
      </c>
      <c r="B33" s="77" t="s">
        <v>39</v>
      </c>
      <c r="C33" s="77"/>
      <c r="D33" s="77"/>
      <c r="E33" s="77"/>
      <c r="F33" s="77"/>
      <c r="G33" s="77"/>
      <c r="H33" s="14">
        <v>25</v>
      </c>
    </row>
    <row r="34" spans="1:8" ht="18.75" customHeight="1" x14ac:dyDescent="0.2">
      <c r="A34" s="5">
        <v>33</v>
      </c>
      <c r="B34" s="88" t="s">
        <v>85</v>
      </c>
      <c r="C34" s="89"/>
      <c r="D34" s="89"/>
      <c r="E34" s="89"/>
      <c r="F34" s="89"/>
      <c r="G34" s="90"/>
      <c r="H34" s="15">
        <v>1</v>
      </c>
    </row>
    <row r="35" spans="1:8" ht="18.75" customHeight="1" x14ac:dyDescent="0.2">
      <c r="A35" s="5">
        <v>34</v>
      </c>
      <c r="B35" s="88" t="s">
        <v>86</v>
      </c>
      <c r="C35" s="89"/>
      <c r="D35" s="89"/>
      <c r="E35" s="89"/>
      <c r="F35" s="89"/>
      <c r="G35" s="90"/>
      <c r="H35" s="15">
        <v>0.5</v>
      </c>
    </row>
    <row r="36" spans="1:8" ht="18.75" customHeight="1" x14ac:dyDescent="0.2">
      <c r="A36" s="5">
        <v>35</v>
      </c>
      <c r="B36" s="88" t="s">
        <v>87</v>
      </c>
      <c r="C36" s="89"/>
      <c r="D36" s="89"/>
      <c r="E36" s="89"/>
      <c r="F36" s="89"/>
      <c r="G36" s="90"/>
      <c r="H36" s="14">
        <v>0</v>
      </c>
    </row>
    <row r="37" spans="1:8" ht="18.75" customHeight="1" x14ac:dyDescent="0.2">
      <c r="A37" s="5">
        <v>36</v>
      </c>
      <c r="B37" s="77" t="s">
        <v>40</v>
      </c>
      <c r="C37" s="77"/>
      <c r="D37" s="77"/>
      <c r="E37" s="77"/>
      <c r="F37" s="77"/>
      <c r="G37" s="77"/>
      <c r="H37" s="3">
        <v>4</v>
      </c>
    </row>
    <row r="38" spans="1:8" ht="18.75" customHeight="1" x14ac:dyDescent="0.2">
      <c r="A38" s="5">
        <v>37</v>
      </c>
      <c r="B38" s="77" t="s">
        <v>41</v>
      </c>
      <c r="C38" s="77"/>
      <c r="D38" s="77"/>
      <c r="E38" s="77"/>
      <c r="F38" s="77"/>
      <c r="G38" s="77"/>
      <c r="H38" s="3">
        <v>2</v>
      </c>
    </row>
    <row r="39" spans="1:8" ht="18.75" customHeight="1" x14ac:dyDescent="0.2">
      <c r="A39" s="5">
        <v>38</v>
      </c>
      <c r="B39" s="77" t="s">
        <v>42</v>
      </c>
      <c r="C39" s="77"/>
      <c r="D39" s="77"/>
      <c r="E39" s="77"/>
      <c r="F39" s="77"/>
      <c r="G39" s="77"/>
      <c r="H39" s="14">
        <v>120</v>
      </c>
    </row>
    <row r="40" spans="1:8" ht="18.75" customHeight="1" x14ac:dyDescent="0.2">
      <c r="A40" s="5">
        <v>39</v>
      </c>
      <c r="B40" s="77" t="s">
        <v>43</v>
      </c>
      <c r="C40" s="77"/>
      <c r="D40" s="77"/>
      <c r="E40" s="77"/>
      <c r="F40" s="77"/>
      <c r="G40" s="77"/>
      <c r="H40" s="13">
        <v>0.05</v>
      </c>
    </row>
    <row r="41" spans="1:8" ht="18.75" customHeight="1" x14ac:dyDescent="0.2">
      <c r="A41" s="5">
        <v>40</v>
      </c>
      <c r="B41" s="77" t="s">
        <v>44</v>
      </c>
      <c r="C41" s="77"/>
      <c r="D41" s="77"/>
      <c r="E41" s="77"/>
      <c r="F41" s="77"/>
      <c r="G41" s="77"/>
      <c r="H41" s="14">
        <v>100</v>
      </c>
    </row>
    <row r="42" spans="1:8" ht="18.75" customHeight="1" x14ac:dyDescent="0.2">
      <c r="A42" s="5">
        <v>41</v>
      </c>
      <c r="B42" s="77" t="s">
        <v>45</v>
      </c>
      <c r="C42" s="77"/>
      <c r="D42" s="77"/>
      <c r="E42" s="77"/>
      <c r="F42" s="77"/>
      <c r="G42" s="77"/>
      <c r="H42" s="14">
        <v>50</v>
      </c>
    </row>
  </sheetData>
  <mergeCells count="42">
    <mergeCell ref="B1:G1"/>
    <mergeCell ref="B39:G39"/>
    <mergeCell ref="B23:G23"/>
    <mergeCell ref="B24:G24"/>
    <mergeCell ref="B26:G26"/>
    <mergeCell ref="B27:G27"/>
    <mergeCell ref="B28:G28"/>
    <mergeCell ref="B29:G29"/>
    <mergeCell ref="B14:G14"/>
    <mergeCell ref="B16:G16"/>
    <mergeCell ref="B17:G17"/>
    <mergeCell ref="B18:G18"/>
    <mergeCell ref="B19:G19"/>
    <mergeCell ref="B20:G20"/>
    <mergeCell ref="B15:G15"/>
    <mergeCell ref="B25:G25"/>
    <mergeCell ref="B40:G40"/>
    <mergeCell ref="B41:G41"/>
    <mergeCell ref="B42:G42"/>
    <mergeCell ref="B30:G30"/>
    <mergeCell ref="B31:G31"/>
    <mergeCell ref="B32:G32"/>
    <mergeCell ref="B33:G33"/>
    <mergeCell ref="B37:G37"/>
    <mergeCell ref="B38:G38"/>
    <mergeCell ref="B34:G34"/>
    <mergeCell ref="B35:G35"/>
    <mergeCell ref="B36:G36"/>
    <mergeCell ref="B21:G21"/>
    <mergeCell ref="B22:G22"/>
    <mergeCell ref="B2:G2"/>
    <mergeCell ref="B3:G3"/>
    <mergeCell ref="B4:G4"/>
    <mergeCell ref="B5:G5"/>
    <mergeCell ref="B6:G6"/>
    <mergeCell ref="B9:G9"/>
    <mergeCell ref="B8:G8"/>
    <mergeCell ref="B7:G7"/>
    <mergeCell ref="B12:G12"/>
    <mergeCell ref="B13:G13"/>
    <mergeCell ref="B10:G10"/>
    <mergeCell ref="B11:G11"/>
  </mergeCells>
  <pageMargins left="0.7" right="0.7" top="0.75" bottom="0.48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opLeftCell="A25" zoomScale="120" zoomScaleNormal="120" workbookViewId="0">
      <selection activeCell="L16" sqref="L16"/>
    </sheetView>
  </sheetViews>
  <sheetFormatPr defaultRowHeight="20.25" customHeight="1" x14ac:dyDescent="0.25"/>
  <cols>
    <col min="1" max="1" width="4.7109375" customWidth="1"/>
    <col min="5" max="5" width="11.5703125" customWidth="1"/>
    <col min="8" max="8" width="23.5703125" customWidth="1"/>
  </cols>
  <sheetData>
    <row r="1" spans="1:8" ht="20.25" customHeight="1" x14ac:dyDescent="0.25">
      <c r="A1" s="5">
        <v>42</v>
      </c>
      <c r="B1" s="77" t="s">
        <v>46</v>
      </c>
      <c r="C1" s="77"/>
      <c r="D1" s="77"/>
      <c r="E1" s="77"/>
      <c r="F1" s="77"/>
      <c r="G1" s="77"/>
      <c r="H1" s="14">
        <v>200</v>
      </c>
    </row>
    <row r="2" spans="1:8" ht="20.25" customHeight="1" x14ac:dyDescent="0.25">
      <c r="A2" s="5">
        <v>43</v>
      </c>
      <c r="B2" s="77" t="s">
        <v>47</v>
      </c>
      <c r="C2" s="77"/>
      <c r="D2" s="77"/>
      <c r="E2" s="77"/>
      <c r="F2" s="77"/>
      <c r="G2" s="77"/>
      <c r="H2" s="14">
        <v>50</v>
      </c>
    </row>
    <row r="3" spans="1:8" ht="20.25" customHeight="1" x14ac:dyDescent="0.25">
      <c r="A3" s="5">
        <v>44</v>
      </c>
      <c r="B3" s="77" t="s">
        <v>48</v>
      </c>
      <c r="C3" s="77"/>
      <c r="D3" s="77"/>
      <c r="E3" s="77"/>
      <c r="F3" s="77"/>
      <c r="G3" s="77"/>
      <c r="H3" s="14">
        <v>50</v>
      </c>
    </row>
    <row r="4" spans="1:8" ht="20.25" customHeight="1" x14ac:dyDescent="0.25">
      <c r="A4" s="5">
        <v>45</v>
      </c>
      <c r="B4" s="77" t="s">
        <v>49</v>
      </c>
      <c r="C4" s="77"/>
      <c r="D4" s="77"/>
      <c r="E4" s="77"/>
      <c r="F4" s="77"/>
      <c r="G4" s="77"/>
      <c r="H4" s="51">
        <f>overview!F19/30</f>
        <v>3.3333333333333335</v>
      </c>
    </row>
    <row r="5" spans="1:8" ht="20.25" customHeight="1" x14ac:dyDescent="0.25">
      <c r="A5" s="5">
        <v>46</v>
      </c>
      <c r="B5" s="77" t="s">
        <v>50</v>
      </c>
      <c r="C5" s="77"/>
      <c r="D5" s="77"/>
      <c r="E5" s="77"/>
      <c r="F5" s="77"/>
      <c r="G5" s="77"/>
      <c r="H5" s="14">
        <v>20000</v>
      </c>
    </row>
    <row r="6" spans="1:8" ht="20.25" customHeight="1" x14ac:dyDescent="0.25">
      <c r="A6" s="5">
        <v>47</v>
      </c>
      <c r="B6" s="77" t="s">
        <v>52</v>
      </c>
      <c r="C6" s="77"/>
      <c r="D6" s="77"/>
      <c r="E6" s="77"/>
      <c r="F6" s="77"/>
      <c r="G6" s="77"/>
      <c r="H6" s="14">
        <v>30000</v>
      </c>
    </row>
    <row r="7" spans="1:8" ht="20.25" customHeight="1" x14ac:dyDescent="0.25">
      <c r="A7" s="5">
        <v>48</v>
      </c>
      <c r="B7" s="77" t="s">
        <v>53</v>
      </c>
      <c r="C7" s="77"/>
      <c r="D7" s="77"/>
      <c r="E7" s="77"/>
      <c r="F7" s="77"/>
      <c r="G7" s="77"/>
      <c r="H7" s="3">
        <v>0.5</v>
      </c>
    </row>
    <row r="8" spans="1:8" ht="20.25" customHeight="1" x14ac:dyDescent="0.25">
      <c r="A8" s="5">
        <v>49</v>
      </c>
      <c r="B8" s="77" t="s">
        <v>54</v>
      </c>
      <c r="C8" s="77"/>
      <c r="D8" s="77"/>
      <c r="E8" s="77"/>
      <c r="F8" s="77"/>
      <c r="G8" s="77"/>
      <c r="H8" s="3">
        <v>0.2</v>
      </c>
    </row>
    <row r="9" spans="1:8" ht="20.25" customHeight="1" x14ac:dyDescent="0.25">
      <c r="A9" s="5">
        <v>50</v>
      </c>
      <c r="B9" s="77" t="s">
        <v>55</v>
      </c>
      <c r="C9" s="77"/>
      <c r="D9" s="77"/>
      <c r="E9" s="77"/>
      <c r="F9" s="77"/>
      <c r="G9" s="77"/>
      <c r="H9" s="3">
        <v>2000</v>
      </c>
    </row>
    <row r="10" spans="1:8" ht="20.25" customHeight="1" x14ac:dyDescent="0.25">
      <c r="A10" s="5">
        <v>51</v>
      </c>
      <c r="B10" s="77" t="s">
        <v>189</v>
      </c>
      <c r="C10" s="77"/>
      <c r="D10" s="77"/>
      <c r="E10" s="77"/>
      <c r="F10" s="77"/>
      <c r="G10" s="77"/>
      <c r="H10" s="13">
        <v>0.05</v>
      </c>
    </row>
    <row r="11" spans="1:8" ht="9" customHeight="1" x14ac:dyDescent="0.25">
      <c r="A11" s="5"/>
    </row>
    <row r="12" spans="1:8" ht="26.25" customHeight="1" x14ac:dyDescent="0.25">
      <c r="A12" s="4"/>
      <c r="B12" s="91" t="s">
        <v>60</v>
      </c>
      <c r="C12" s="91"/>
      <c r="D12" s="91"/>
      <c r="E12" s="91"/>
      <c r="F12" s="7" t="s">
        <v>78</v>
      </c>
      <c r="G12" s="8" t="s">
        <v>79</v>
      </c>
      <c r="H12" s="7" t="s">
        <v>66</v>
      </c>
    </row>
    <row r="13" spans="1:8" ht="20.25" customHeight="1" x14ac:dyDescent="0.25">
      <c r="A13" s="9">
        <v>1</v>
      </c>
      <c r="B13" s="77" t="s">
        <v>61</v>
      </c>
      <c r="C13" s="77"/>
      <c r="D13" s="77"/>
      <c r="E13" s="77"/>
      <c r="F13" s="5">
        <f>overview!F19</f>
        <v>100</v>
      </c>
      <c r="G13" s="5">
        <f>'tep '!H3</f>
        <v>10000</v>
      </c>
      <c r="H13" s="5">
        <f>(F13*G13)</f>
        <v>1000000</v>
      </c>
    </row>
    <row r="14" spans="1:8" ht="20.25" customHeight="1" x14ac:dyDescent="0.25">
      <c r="A14" s="9">
        <v>2</v>
      </c>
      <c r="B14" s="77" t="s">
        <v>62</v>
      </c>
      <c r="C14" s="77"/>
      <c r="D14" s="77"/>
      <c r="E14" s="77"/>
      <c r="F14" s="5">
        <f>'tep '!H4</f>
        <v>5</v>
      </c>
      <c r="G14" s="5">
        <f>'tep '!H5</f>
        <v>20000</v>
      </c>
      <c r="H14" s="5">
        <f t="shared" ref="H14:H17" si="0">(F14*G14)</f>
        <v>100000</v>
      </c>
    </row>
    <row r="15" spans="1:8" ht="20.25" customHeight="1" x14ac:dyDescent="0.25">
      <c r="A15" s="9">
        <v>3</v>
      </c>
      <c r="B15" s="77" t="s">
        <v>63</v>
      </c>
      <c r="C15" s="77"/>
      <c r="D15" s="77"/>
      <c r="E15" s="77"/>
      <c r="F15" s="5">
        <f>('tep '!H2*'tep '!H26)+('tep '!H27*'tep '!H4)+('tep '!H2*'tep '!H16*'tep '!H28)</f>
        <v>1825</v>
      </c>
      <c r="G15" s="5">
        <f>'tep '!H29</f>
        <v>400</v>
      </c>
      <c r="H15" s="5">
        <f t="shared" si="0"/>
        <v>730000</v>
      </c>
    </row>
    <row r="16" spans="1:8" ht="20.25" customHeight="1" x14ac:dyDescent="0.25">
      <c r="A16" s="9">
        <v>4</v>
      </c>
      <c r="B16" s="77" t="s">
        <v>64</v>
      </c>
      <c r="C16" s="77"/>
      <c r="D16" s="77"/>
      <c r="E16" s="77"/>
      <c r="F16" s="5">
        <f>SUM('tep '!H2,'tep '!H4)</f>
        <v>105</v>
      </c>
      <c r="G16" s="5">
        <f>'tep '!H41</f>
        <v>100</v>
      </c>
      <c r="H16" s="5">
        <f t="shared" si="0"/>
        <v>10500</v>
      </c>
    </row>
    <row r="17" spans="1:8" ht="20.25" customHeight="1" x14ac:dyDescent="0.25">
      <c r="A17" s="9">
        <v>5</v>
      </c>
      <c r="B17" s="88" t="s">
        <v>65</v>
      </c>
      <c r="C17" s="89"/>
      <c r="D17" s="89"/>
      <c r="E17" s="90"/>
      <c r="F17" s="5">
        <f>overview!F32</f>
        <v>1</v>
      </c>
      <c r="G17" s="5">
        <f>expenditure!H6</f>
        <v>30000</v>
      </c>
      <c r="H17" s="5">
        <f t="shared" si="0"/>
        <v>30000</v>
      </c>
    </row>
    <row r="18" spans="1:8" ht="20.25" customHeight="1" x14ac:dyDescent="0.25">
      <c r="A18" s="4"/>
      <c r="B18" s="93" t="s">
        <v>66</v>
      </c>
      <c r="C18" s="93"/>
      <c r="D18" s="93"/>
      <c r="E18" s="93"/>
      <c r="F18" s="5"/>
      <c r="G18" s="5"/>
      <c r="H18" s="16">
        <f>SUM(H13:H17)</f>
        <v>1870500</v>
      </c>
    </row>
    <row r="19" spans="1:8" ht="9" customHeight="1" x14ac:dyDescent="0.25">
      <c r="A19" s="4"/>
      <c r="B19" s="95"/>
      <c r="C19" s="96"/>
      <c r="D19" s="96"/>
      <c r="E19" s="96"/>
      <c r="F19" s="96"/>
      <c r="G19" s="96"/>
      <c r="H19" s="97"/>
    </row>
    <row r="20" spans="1:8" ht="26.25" customHeight="1" x14ac:dyDescent="0.25">
      <c r="A20" s="4"/>
      <c r="B20" s="92" t="s">
        <v>67</v>
      </c>
      <c r="C20" s="92"/>
      <c r="D20" s="92"/>
      <c r="E20" s="92"/>
      <c r="F20" s="7" t="s">
        <v>78</v>
      </c>
      <c r="G20" s="8" t="s">
        <v>79</v>
      </c>
      <c r="H20" s="7" t="s">
        <v>66</v>
      </c>
    </row>
    <row r="21" spans="1:8" ht="20.25" customHeight="1" x14ac:dyDescent="0.25">
      <c r="A21" s="5">
        <v>1</v>
      </c>
      <c r="B21" s="77" t="s">
        <v>69</v>
      </c>
      <c r="C21" s="77"/>
      <c r="D21" s="77"/>
      <c r="E21" s="77"/>
      <c r="F21" s="5">
        <f>('tep '!H2+'tep '!H4)*'tep '!H31</f>
        <v>3150</v>
      </c>
      <c r="G21" s="5">
        <f>'tep '!H33</f>
        <v>25</v>
      </c>
      <c r="H21" s="5">
        <f>(F21*G21)</f>
        <v>78750</v>
      </c>
    </row>
    <row r="22" spans="1:8" ht="20.25" customHeight="1" x14ac:dyDescent="0.25">
      <c r="A22" s="5">
        <v>2</v>
      </c>
      <c r="B22" s="77" t="s">
        <v>68</v>
      </c>
      <c r="C22" s="77"/>
      <c r="D22" s="77"/>
      <c r="E22" s="77"/>
      <c r="F22" s="5">
        <f>('tep '!H2*'tep '!H9*'tep '!H16*'tep '!H32)</f>
        <v>1620</v>
      </c>
      <c r="G22" s="5">
        <f>'tep '!H33</f>
        <v>25</v>
      </c>
      <c r="H22" s="5">
        <f t="shared" ref="H22:H32" si="1">(F22*G22)</f>
        <v>40500</v>
      </c>
    </row>
    <row r="23" spans="1:8" ht="20.25" customHeight="1" x14ac:dyDescent="0.25">
      <c r="A23" s="5">
        <v>3</v>
      </c>
      <c r="B23" s="77" t="s">
        <v>70</v>
      </c>
      <c r="C23" s="77"/>
      <c r="D23" s="77"/>
      <c r="E23" s="77"/>
      <c r="F23" s="5">
        <f>H4</f>
        <v>3.3333333333333335</v>
      </c>
      <c r="G23" s="5">
        <f>H5</f>
        <v>20000</v>
      </c>
      <c r="H23" s="26">
        <f t="shared" si="1"/>
        <v>66666.666666666672</v>
      </c>
    </row>
    <row r="24" spans="1:8" ht="20.25" customHeight="1" x14ac:dyDescent="0.25">
      <c r="A24" s="5">
        <v>4</v>
      </c>
      <c r="B24" s="88" t="s">
        <v>132</v>
      </c>
      <c r="C24" s="89"/>
      <c r="D24" s="89"/>
      <c r="E24" s="90"/>
      <c r="F24" s="5">
        <f>(('tep '!H2+'tep '!H4)*'tep '!H34*'tep '!H6)/1000</f>
        <v>25.2</v>
      </c>
      <c r="G24" s="5">
        <f>'tep '!H36</f>
        <v>0</v>
      </c>
      <c r="H24" s="5">
        <f t="shared" si="1"/>
        <v>0</v>
      </c>
    </row>
    <row r="25" spans="1:8" ht="20.25" customHeight="1" x14ac:dyDescent="0.25">
      <c r="A25" s="5">
        <v>5</v>
      </c>
      <c r="B25" s="88" t="s">
        <v>133</v>
      </c>
      <c r="C25" s="89"/>
      <c r="D25" s="89"/>
      <c r="E25" s="90"/>
      <c r="F25" s="5">
        <f>('tep '!H2*'tep '!H9*'tep '!H16*'tep '!H35*'tep '!H6)/1000</f>
        <v>16.2</v>
      </c>
      <c r="G25" s="5">
        <f>'tep '!H36</f>
        <v>0</v>
      </c>
      <c r="H25" s="5">
        <f t="shared" si="1"/>
        <v>0</v>
      </c>
    </row>
    <row r="26" spans="1:8" ht="20.25" customHeight="1" x14ac:dyDescent="0.25">
      <c r="A26" s="5">
        <v>6</v>
      </c>
      <c r="B26" s="77" t="s">
        <v>71</v>
      </c>
      <c r="C26" s="77"/>
      <c r="D26" s="77"/>
      <c r="E26" s="77"/>
      <c r="F26" s="5">
        <f>overview!F31</f>
        <v>1</v>
      </c>
      <c r="G26" s="5">
        <f>'tep '!H30*('tep '!H6/30)</f>
        <v>144000</v>
      </c>
      <c r="H26" s="5">
        <f t="shared" si="1"/>
        <v>144000</v>
      </c>
    </row>
    <row r="27" spans="1:8" ht="20.25" customHeight="1" x14ac:dyDescent="0.25">
      <c r="A27" s="5">
        <v>7</v>
      </c>
      <c r="B27" s="77" t="s">
        <v>72</v>
      </c>
      <c r="C27" s="77"/>
      <c r="D27" s="77"/>
      <c r="E27" s="77"/>
      <c r="F27" s="5">
        <f>'tep '!H2+'tep '!H4+('tep '!H2*'tep '!H16*'tep '!H9)</f>
        <v>240</v>
      </c>
      <c r="G27" s="5">
        <f>H2</f>
        <v>50</v>
      </c>
      <c r="H27" s="5">
        <f t="shared" si="1"/>
        <v>12000</v>
      </c>
    </row>
    <row r="28" spans="1:8" ht="20.25" customHeight="1" x14ac:dyDescent="0.25">
      <c r="A28" s="5">
        <v>8</v>
      </c>
      <c r="B28" s="77" t="s">
        <v>73</v>
      </c>
      <c r="C28" s="77"/>
      <c r="D28" s="77"/>
      <c r="E28" s="77"/>
      <c r="F28" s="5">
        <f>F27</f>
        <v>240</v>
      </c>
      <c r="G28" s="5">
        <f>'tep '!H42</f>
        <v>50</v>
      </c>
      <c r="H28" s="5">
        <f t="shared" si="1"/>
        <v>12000</v>
      </c>
    </row>
    <row r="29" spans="1:8" ht="20.25" customHeight="1" x14ac:dyDescent="0.25">
      <c r="A29" s="5">
        <v>9</v>
      </c>
      <c r="B29" s="77" t="s">
        <v>75</v>
      </c>
      <c r="C29" s="77"/>
      <c r="D29" s="77"/>
      <c r="E29" s="77"/>
      <c r="F29" s="5">
        <f>F28</f>
        <v>240</v>
      </c>
      <c r="G29" s="5">
        <f>H1</f>
        <v>200</v>
      </c>
      <c r="H29" s="5">
        <f t="shared" si="1"/>
        <v>48000</v>
      </c>
    </row>
    <row r="30" spans="1:8" ht="20.25" customHeight="1" x14ac:dyDescent="0.25">
      <c r="A30" s="5">
        <v>10</v>
      </c>
      <c r="B30" s="77" t="s">
        <v>74</v>
      </c>
      <c r="C30" s="77"/>
      <c r="D30" s="77"/>
      <c r="E30" s="77"/>
      <c r="F30" s="5">
        <f>('tep '!H2+'tep '!H4*('tep '!H37))+('tep '!H2*'tep '!H16*'tep '!H9*'tep '!H38)</f>
        <v>390</v>
      </c>
      <c r="G30" s="5">
        <f>'tep '!H39</f>
        <v>120</v>
      </c>
      <c r="H30" s="5">
        <f t="shared" si="1"/>
        <v>46800</v>
      </c>
    </row>
    <row r="31" spans="1:8" ht="20.25" customHeight="1" x14ac:dyDescent="0.25">
      <c r="A31" s="5">
        <v>11</v>
      </c>
      <c r="B31" s="77" t="s">
        <v>76</v>
      </c>
      <c r="C31" s="77"/>
      <c r="D31" s="77"/>
      <c r="E31" s="77"/>
      <c r="F31" s="5">
        <f>F29</f>
        <v>240</v>
      </c>
      <c r="G31" s="5">
        <f>H3</f>
        <v>50</v>
      </c>
      <c r="H31" s="5">
        <f t="shared" si="1"/>
        <v>12000</v>
      </c>
    </row>
    <row r="32" spans="1:8" ht="20.25" customHeight="1" x14ac:dyDescent="0.25">
      <c r="A32" s="5">
        <v>12</v>
      </c>
      <c r="B32" s="77" t="s">
        <v>77</v>
      </c>
      <c r="C32" s="77"/>
      <c r="D32" s="77"/>
      <c r="E32" s="77"/>
      <c r="F32" s="5">
        <f>SUM(H13,H14)</f>
        <v>1100000</v>
      </c>
      <c r="G32" s="17">
        <f>'tep '!H40</f>
        <v>0.05</v>
      </c>
      <c r="H32" s="5">
        <f t="shared" si="1"/>
        <v>55000</v>
      </c>
    </row>
    <row r="33" spans="1:8" ht="20.25" customHeight="1" x14ac:dyDescent="0.25">
      <c r="A33" s="4"/>
      <c r="B33" s="93" t="s">
        <v>66</v>
      </c>
      <c r="C33" s="93"/>
      <c r="D33" s="93"/>
      <c r="E33" s="93"/>
      <c r="F33" s="5"/>
      <c r="G33" s="5"/>
      <c r="H33" s="44">
        <f>SUM(H21:H32)</f>
        <v>515716.66666666669</v>
      </c>
    </row>
    <row r="34" spans="1:8" ht="20.25" customHeight="1" x14ac:dyDescent="0.25">
      <c r="A34" s="94"/>
      <c r="B34" s="94"/>
      <c r="C34" s="94"/>
      <c r="D34" s="94"/>
      <c r="E34" s="94"/>
      <c r="F34" s="94"/>
      <c r="G34" s="94"/>
      <c r="H34" s="94"/>
    </row>
    <row r="35" spans="1:8" ht="20.25" customHeight="1" x14ac:dyDescent="0.25">
      <c r="A35" s="4"/>
      <c r="B35" s="93" t="s">
        <v>190</v>
      </c>
      <c r="C35" s="93"/>
      <c r="D35" s="93"/>
      <c r="E35" s="93"/>
      <c r="F35" s="93"/>
      <c r="G35" s="4"/>
      <c r="H35" s="44">
        <f>SUM(H18,H33)</f>
        <v>2386216.6666666665</v>
      </c>
    </row>
    <row r="36" spans="1:8" ht="20.25" customHeight="1" x14ac:dyDescent="0.25">
      <c r="A36" s="4"/>
      <c r="B36" s="93" t="s">
        <v>191</v>
      </c>
      <c r="C36" s="93"/>
      <c r="D36" s="93"/>
      <c r="E36" s="93"/>
      <c r="F36" s="93"/>
      <c r="G36" s="4"/>
      <c r="H36" s="44">
        <f>(H33*'tep '!H7)+expenditure!H18</f>
        <v>2644075</v>
      </c>
    </row>
  </sheetData>
  <mergeCells count="35">
    <mergeCell ref="B22:E22"/>
    <mergeCell ref="B17:E17"/>
    <mergeCell ref="B6:G6"/>
    <mergeCell ref="B7:G7"/>
    <mergeCell ref="B8:G8"/>
    <mergeCell ref="B18:E18"/>
    <mergeCell ref="B35:F35"/>
    <mergeCell ref="B36:F36"/>
    <mergeCell ref="A34:H34"/>
    <mergeCell ref="B19:H19"/>
    <mergeCell ref="B28:E28"/>
    <mergeCell ref="B29:E29"/>
    <mergeCell ref="B30:E30"/>
    <mergeCell ref="B31:E31"/>
    <mergeCell ref="B32:E32"/>
    <mergeCell ref="B33:E33"/>
    <mergeCell ref="B27:E27"/>
    <mergeCell ref="B21:E21"/>
    <mergeCell ref="B26:E26"/>
    <mergeCell ref="B23:E23"/>
    <mergeCell ref="B24:E24"/>
    <mergeCell ref="B25:E25"/>
    <mergeCell ref="B1:G1"/>
    <mergeCell ref="B2:G2"/>
    <mergeCell ref="B12:E12"/>
    <mergeCell ref="B13:E13"/>
    <mergeCell ref="B20:E20"/>
    <mergeCell ref="B15:E15"/>
    <mergeCell ref="B16:E16"/>
    <mergeCell ref="B14:E14"/>
    <mergeCell ref="B9:G9"/>
    <mergeCell ref="B10:G10"/>
    <mergeCell ref="B3:G3"/>
    <mergeCell ref="B4:G4"/>
    <mergeCell ref="B5:G5"/>
  </mergeCells>
  <pageMargins left="0.7" right="0.7" top="0.75" bottom="0.75" header="0.3" footer="0.3"/>
  <pageSetup paperSize="9" orientation="portrait" horizontalDpi="0" verticalDpi="0" r:id="rId1"/>
  <ignoredErrors>
    <ignoredError sqref="G30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opLeftCell="A17" zoomScale="130" zoomScaleNormal="130" workbookViewId="0">
      <selection activeCell="A29" sqref="A29:XFD29"/>
    </sheetView>
  </sheetViews>
  <sheetFormatPr defaultRowHeight="16.5" customHeight="1" x14ac:dyDescent="0.25"/>
  <cols>
    <col min="1" max="1" width="3.85546875" customWidth="1"/>
    <col min="7" max="8" width="9.140625" customWidth="1"/>
  </cols>
  <sheetData>
    <row r="1" spans="1:14" ht="16.5" customHeight="1" x14ac:dyDescent="0.25">
      <c r="B1" s="22" t="s">
        <v>88</v>
      </c>
      <c r="G1" s="23" t="s">
        <v>116</v>
      </c>
      <c r="H1" s="23" t="s">
        <v>117</v>
      </c>
      <c r="I1" s="23" t="s">
        <v>118</v>
      </c>
      <c r="J1" s="23" t="s">
        <v>119</v>
      </c>
      <c r="K1" s="23" t="s">
        <v>120</v>
      </c>
      <c r="L1" s="23" t="s">
        <v>121</v>
      </c>
      <c r="M1" s="23" t="s">
        <v>122</v>
      </c>
      <c r="N1" s="23" t="s">
        <v>123</v>
      </c>
    </row>
    <row r="2" spans="1:14" ht="16.5" customHeight="1" x14ac:dyDescent="0.25">
      <c r="A2" s="5">
        <v>1</v>
      </c>
      <c r="B2" s="77" t="s">
        <v>89</v>
      </c>
      <c r="C2" s="77"/>
      <c r="D2" s="77"/>
      <c r="E2" s="77"/>
      <c r="F2" s="77"/>
      <c r="G2" s="6">
        <f>'tep '!H2</f>
        <v>100</v>
      </c>
      <c r="H2" s="6">
        <f>G28</f>
        <v>100</v>
      </c>
      <c r="I2" s="6">
        <f t="shared" ref="I2:N2" si="0">H28</f>
        <v>100</v>
      </c>
      <c r="J2" s="6">
        <f t="shared" si="0"/>
        <v>100</v>
      </c>
      <c r="K2" s="6">
        <f t="shared" si="0"/>
        <v>100</v>
      </c>
      <c r="L2" s="6">
        <f t="shared" si="0"/>
        <v>100</v>
      </c>
      <c r="M2" s="6">
        <f t="shared" si="0"/>
        <v>100</v>
      </c>
      <c r="N2" s="6">
        <f t="shared" si="0"/>
        <v>100</v>
      </c>
    </row>
    <row r="3" spans="1:14" ht="16.5" customHeight="1" x14ac:dyDescent="0.25">
      <c r="A3" s="5">
        <v>2</v>
      </c>
      <c r="B3" s="77" t="s">
        <v>90</v>
      </c>
      <c r="C3" s="77"/>
      <c r="D3" s="77"/>
      <c r="E3" s="77"/>
      <c r="F3" s="77"/>
      <c r="G3" s="6">
        <f>'tep '!H4</f>
        <v>5</v>
      </c>
      <c r="H3" s="6">
        <f>G29</f>
        <v>5</v>
      </c>
      <c r="I3" s="6">
        <f t="shared" ref="I3:N3" si="1">H29</f>
        <v>5</v>
      </c>
      <c r="J3" s="6">
        <f t="shared" si="1"/>
        <v>5</v>
      </c>
      <c r="K3" s="6">
        <f t="shared" si="1"/>
        <v>5</v>
      </c>
      <c r="L3" s="6">
        <f t="shared" si="1"/>
        <v>5</v>
      </c>
      <c r="M3" s="6">
        <f t="shared" si="1"/>
        <v>5</v>
      </c>
      <c r="N3" s="6">
        <f t="shared" si="1"/>
        <v>5</v>
      </c>
    </row>
    <row r="4" spans="1:14" ht="16.5" customHeight="1" x14ac:dyDescent="0.25">
      <c r="A4" s="5">
        <v>3</v>
      </c>
      <c r="B4" s="77" t="s">
        <v>97</v>
      </c>
      <c r="C4" s="77"/>
      <c r="D4" s="77"/>
      <c r="E4" s="77"/>
      <c r="F4" s="77"/>
      <c r="G4" s="6">
        <v>0</v>
      </c>
      <c r="H4" s="18">
        <f>G30</f>
        <v>0</v>
      </c>
      <c r="I4" s="18">
        <f t="shared" ref="I4:N4" si="2">H30</f>
        <v>0</v>
      </c>
      <c r="J4" s="18">
        <f t="shared" si="2"/>
        <v>0</v>
      </c>
      <c r="K4" s="18">
        <f t="shared" si="2"/>
        <v>0</v>
      </c>
      <c r="L4" s="18">
        <f t="shared" si="2"/>
        <v>0</v>
      </c>
      <c r="M4" s="18">
        <f t="shared" si="2"/>
        <v>0</v>
      </c>
      <c r="N4" s="18">
        <f t="shared" si="2"/>
        <v>0</v>
      </c>
    </row>
    <row r="5" spans="1:14" ht="16.5" customHeight="1" x14ac:dyDescent="0.25">
      <c r="A5" s="5">
        <v>4</v>
      </c>
      <c r="B5" s="77" t="s">
        <v>98</v>
      </c>
      <c r="C5" s="77"/>
      <c r="D5" s="77"/>
      <c r="E5" s="77"/>
      <c r="F5" s="77"/>
      <c r="G5" s="6">
        <v>0</v>
      </c>
      <c r="H5" s="18">
        <f>G31</f>
        <v>0</v>
      </c>
      <c r="I5" s="18">
        <f t="shared" ref="I5:N5" si="3">H31</f>
        <v>0</v>
      </c>
      <c r="J5" s="18">
        <f t="shared" si="3"/>
        <v>0</v>
      </c>
      <c r="K5" s="18">
        <f t="shared" si="3"/>
        <v>0</v>
      </c>
      <c r="L5" s="18">
        <f t="shared" si="3"/>
        <v>0</v>
      </c>
      <c r="M5" s="18">
        <f t="shared" si="3"/>
        <v>0</v>
      </c>
      <c r="N5" s="18">
        <f t="shared" si="3"/>
        <v>0</v>
      </c>
    </row>
    <row r="6" spans="1:14" ht="16.5" customHeight="1" x14ac:dyDescent="0.25">
      <c r="A6" s="5">
        <v>5</v>
      </c>
      <c r="B6" s="77" t="s">
        <v>105</v>
      </c>
      <c r="C6" s="77"/>
      <c r="D6" s="77"/>
      <c r="E6" s="77"/>
      <c r="F6" s="77"/>
      <c r="G6" s="18">
        <f>(G2*'tep '!H9*'tep '!H16*'tep '!H13)</f>
        <v>67.5</v>
      </c>
      <c r="H6" s="18">
        <f>(H2*'tep '!$H$10*'tep '!$H$16*'tep '!$H$13)</f>
        <v>67.5</v>
      </c>
      <c r="I6" s="18">
        <f>(I2*'tep '!$H$10*'tep '!$H$16*'tep '!$H$13)</f>
        <v>67.5</v>
      </c>
      <c r="J6" s="18">
        <f>(J2*'tep '!$H$10*'tep '!$H$16*'tep '!$H$13)</f>
        <v>67.5</v>
      </c>
      <c r="K6" s="18">
        <f>(K2*'tep '!$H$10*'tep '!$H$16*'tep '!$H$13)</f>
        <v>67.5</v>
      </c>
      <c r="L6" s="18">
        <f>(L2*'tep '!$H$10*'tep '!$H$16*'tep '!$H$13)</f>
        <v>67.5</v>
      </c>
      <c r="M6" s="18">
        <f>(M2*'tep '!$H$10*'tep '!$H$16*'tep '!$H$13)</f>
        <v>67.5</v>
      </c>
      <c r="N6" s="18">
        <f>(N2*'tep '!$H$10*'tep '!$H$16*'tep '!$H$13)</f>
        <v>67.5</v>
      </c>
    </row>
    <row r="7" spans="1:14" ht="16.5" customHeight="1" x14ac:dyDescent="0.25">
      <c r="A7" s="5">
        <v>6</v>
      </c>
      <c r="B7" s="77" t="s">
        <v>106</v>
      </c>
      <c r="C7" s="77"/>
      <c r="D7" s="77"/>
      <c r="E7" s="77"/>
      <c r="F7" s="77"/>
      <c r="G7" s="18">
        <f>(G2*'tep '!$H$9*'tep '!$H$16*'tep '!$H$14)</f>
        <v>67.5</v>
      </c>
      <c r="H7" s="18">
        <f>(H2*'tep '!$H$10*'tep '!$H$16*'tep '!$H$14)</f>
        <v>67.5</v>
      </c>
      <c r="I7" s="18">
        <f>(I2*'tep '!$H$10*'tep '!$H$16*'tep '!$H$14)</f>
        <v>67.5</v>
      </c>
      <c r="J7" s="18">
        <f>(J2*'tep '!$H$10*'tep '!$H$16*'tep '!$H$14)</f>
        <v>67.5</v>
      </c>
      <c r="K7" s="18">
        <f>(K2*'tep '!$H$10*'tep '!$H$16*'tep '!$H$14)</f>
        <v>67.5</v>
      </c>
      <c r="L7" s="18">
        <f>(L2*'tep '!$H$10*'tep '!$H$16*'tep '!$H$14)</f>
        <v>67.5</v>
      </c>
      <c r="M7" s="18">
        <f>(M2*'tep '!$H$10*'tep '!$H$16*'tep '!$H$14)</f>
        <v>67.5</v>
      </c>
      <c r="N7" s="18">
        <f>(N2*'tep '!$H$10*'tep '!$H$16*'tep '!$H$14)</f>
        <v>67.5</v>
      </c>
    </row>
    <row r="8" spans="1:14" ht="16.5" customHeight="1" x14ac:dyDescent="0.25">
      <c r="A8" s="5">
        <v>7</v>
      </c>
      <c r="B8" s="77" t="s">
        <v>99</v>
      </c>
      <c r="C8" s="77"/>
      <c r="D8" s="77"/>
      <c r="E8" s="77"/>
      <c r="F8" s="77"/>
      <c r="G8" s="6">
        <v>0</v>
      </c>
      <c r="H8" s="18">
        <f>G32</f>
        <v>0</v>
      </c>
      <c r="I8" s="18">
        <f t="shared" ref="I8:N8" si="4">H32</f>
        <v>0</v>
      </c>
      <c r="J8" s="18">
        <f t="shared" si="4"/>
        <v>0</v>
      </c>
      <c r="K8" s="18">
        <f t="shared" si="4"/>
        <v>0</v>
      </c>
      <c r="L8" s="18">
        <f t="shared" si="4"/>
        <v>0</v>
      </c>
      <c r="M8" s="18">
        <f t="shared" si="4"/>
        <v>0</v>
      </c>
      <c r="N8" s="18">
        <f t="shared" si="4"/>
        <v>0</v>
      </c>
    </row>
    <row r="9" spans="1:14" ht="16.5" customHeight="1" x14ac:dyDescent="0.25">
      <c r="A9" s="5">
        <v>8</v>
      </c>
      <c r="B9" s="77" t="s">
        <v>100</v>
      </c>
      <c r="C9" s="77"/>
      <c r="D9" s="77"/>
      <c r="E9" s="77"/>
      <c r="F9" s="77"/>
      <c r="G9" s="6">
        <v>0</v>
      </c>
      <c r="H9" s="18">
        <f>G33</f>
        <v>0</v>
      </c>
      <c r="I9" s="18">
        <f t="shared" ref="I9:N9" si="5">H33</f>
        <v>0</v>
      </c>
      <c r="J9" s="18">
        <f t="shared" si="5"/>
        <v>0</v>
      </c>
      <c r="K9" s="18">
        <f t="shared" si="5"/>
        <v>0</v>
      </c>
      <c r="L9" s="18">
        <f t="shared" si="5"/>
        <v>0</v>
      </c>
      <c r="M9" s="18">
        <f t="shared" si="5"/>
        <v>0</v>
      </c>
      <c r="N9" s="18">
        <f t="shared" si="5"/>
        <v>0</v>
      </c>
    </row>
    <row r="10" spans="1:14" ht="16.5" customHeight="1" x14ac:dyDescent="0.25">
      <c r="A10" s="5">
        <v>9</v>
      </c>
      <c r="B10" s="77" t="s">
        <v>91</v>
      </c>
      <c r="C10" s="77"/>
      <c r="D10" s="77"/>
      <c r="E10" s="77"/>
      <c r="F10" s="77"/>
      <c r="G10" s="6">
        <f>(G2*'tep '!$H$23)</f>
        <v>5</v>
      </c>
      <c r="H10" s="6">
        <f>(H2*'tep '!$H$23)</f>
        <v>5</v>
      </c>
      <c r="I10" s="6">
        <f>G10-I11</f>
        <v>4</v>
      </c>
      <c r="J10" s="6">
        <f>(J2*'tep '!$H$23)</f>
        <v>5</v>
      </c>
      <c r="K10" s="6">
        <f>(K2*'tep '!$H$23)</f>
        <v>5</v>
      </c>
      <c r="L10" s="6">
        <f>J10-L11</f>
        <v>4</v>
      </c>
      <c r="M10" s="6">
        <f>(M2*'tep '!$H$23)</f>
        <v>5</v>
      </c>
      <c r="N10" s="6">
        <f>(N2*'tep '!$H$23)</f>
        <v>5</v>
      </c>
    </row>
    <row r="11" spans="1:14" ht="16.5" customHeight="1" x14ac:dyDescent="0.25">
      <c r="A11" s="5">
        <v>10</v>
      </c>
      <c r="B11" s="77" t="s">
        <v>92</v>
      </c>
      <c r="C11" s="77"/>
      <c r="D11" s="77"/>
      <c r="E11" s="77"/>
      <c r="F11" s="77"/>
      <c r="G11" s="6">
        <v>0</v>
      </c>
      <c r="H11" s="6">
        <v>0</v>
      </c>
      <c r="I11" s="6">
        <f t="shared" ref="I11:L11" si="6">(I3*20%)</f>
        <v>1</v>
      </c>
      <c r="J11" s="6">
        <v>0</v>
      </c>
      <c r="K11" s="6">
        <v>0</v>
      </c>
      <c r="L11" s="6">
        <f t="shared" si="6"/>
        <v>1</v>
      </c>
      <c r="M11" s="6">
        <v>0</v>
      </c>
      <c r="N11" s="6">
        <v>0</v>
      </c>
    </row>
    <row r="12" spans="1:14" ht="16.5" customHeight="1" x14ac:dyDescent="0.25">
      <c r="A12" s="5">
        <v>11</v>
      </c>
      <c r="B12" s="77" t="s">
        <v>93</v>
      </c>
      <c r="C12" s="77"/>
      <c r="D12" s="77"/>
      <c r="E12" s="77"/>
      <c r="F12" s="77"/>
      <c r="G12" s="18">
        <f>(G4+G6)*'tep '!$H$24</f>
        <v>3.375</v>
      </c>
      <c r="H12" s="18">
        <f>(H4+H6)*'tep '!$H$24</f>
        <v>3.375</v>
      </c>
      <c r="I12" s="18">
        <f>(I4+I6)*'tep '!$H$24</f>
        <v>3.375</v>
      </c>
      <c r="J12" s="18">
        <f>(J4+J6)*'tep '!$H$24</f>
        <v>3.375</v>
      </c>
      <c r="K12" s="18">
        <f>(K4+K6)*'tep '!$H$24</f>
        <v>3.375</v>
      </c>
      <c r="L12" s="18">
        <f>(L4+L6)*'tep '!$H$24</f>
        <v>3.375</v>
      </c>
      <c r="M12" s="18">
        <f>(M4+M6)*'tep '!$H$24</f>
        <v>3.375</v>
      </c>
      <c r="N12" s="18">
        <f>(N4+N6)*'tep '!$H$24</f>
        <v>3.375</v>
      </c>
    </row>
    <row r="13" spans="1:14" ht="16.5" customHeight="1" x14ac:dyDescent="0.25">
      <c r="A13" s="5">
        <v>12</v>
      </c>
      <c r="B13" s="77" t="s">
        <v>94</v>
      </c>
      <c r="C13" s="77"/>
      <c r="D13" s="77"/>
      <c r="E13" s="77"/>
      <c r="F13" s="77"/>
      <c r="G13" s="18">
        <f>(G7+G5)*'tep '!$H$24</f>
        <v>3.375</v>
      </c>
      <c r="H13" s="18">
        <f>(H7+H5)*'tep '!$H$24</f>
        <v>3.375</v>
      </c>
      <c r="I13" s="18">
        <f>(I7+I5)*'tep '!$H$24</f>
        <v>3.375</v>
      </c>
      <c r="J13" s="18">
        <f>(J7+J5)*'tep '!$H$24</f>
        <v>3.375</v>
      </c>
      <c r="K13" s="18">
        <f>(K7+K5)*'tep '!$H$24</f>
        <v>3.375</v>
      </c>
      <c r="L13" s="18">
        <f>(L7+L5)*'tep '!$H$24</f>
        <v>3.375</v>
      </c>
      <c r="M13" s="18">
        <f>(M7+M5)*'tep '!$H$24</f>
        <v>3.375</v>
      </c>
      <c r="N13" s="18">
        <f>(N7+N5)*'tep '!$H$24</f>
        <v>3.375</v>
      </c>
    </row>
    <row r="14" spans="1:14" ht="16.5" customHeight="1" x14ac:dyDescent="0.25">
      <c r="A14" s="5">
        <v>13</v>
      </c>
      <c r="B14" s="77" t="s">
        <v>95</v>
      </c>
      <c r="C14" s="77"/>
      <c r="D14" s="77"/>
      <c r="E14" s="77"/>
      <c r="F14" s="77"/>
      <c r="G14" s="18">
        <f>(G4+G6-G12)*'tep '!$H$25</f>
        <v>1.2825</v>
      </c>
      <c r="H14" s="18">
        <f>(H4+H6-H12)*'tep '!$H$25</f>
        <v>1.2825</v>
      </c>
      <c r="I14" s="18">
        <f>(I4+I6-I12)*'tep '!$H$25</f>
        <v>1.2825</v>
      </c>
      <c r="J14" s="18">
        <f>(J4+J6-J12)*'tep '!$H$25</f>
        <v>1.2825</v>
      </c>
      <c r="K14" s="18">
        <f>(K4+K6-K12)*'tep '!$H$25</f>
        <v>1.2825</v>
      </c>
      <c r="L14" s="18">
        <f>(L4+L6-L12)*'tep '!$H$25</f>
        <v>1.2825</v>
      </c>
      <c r="M14" s="18">
        <f>(M4+M6-M12)*'tep '!$H$25</f>
        <v>1.2825</v>
      </c>
      <c r="N14" s="18">
        <f>(N4+N6-N12)*'tep '!$H$25</f>
        <v>1.2825</v>
      </c>
    </row>
    <row r="15" spans="1:14" ht="16.5" customHeight="1" x14ac:dyDescent="0.25">
      <c r="A15" s="5">
        <v>14</v>
      </c>
      <c r="B15" s="77" t="s">
        <v>96</v>
      </c>
      <c r="C15" s="77"/>
      <c r="D15" s="77"/>
      <c r="E15" s="77"/>
      <c r="F15" s="77"/>
      <c r="G15" s="18">
        <f>(G7+G5-G13)*'tep '!$H$25</f>
        <v>1.2825</v>
      </c>
      <c r="H15" s="18">
        <f>(H7+H5-H13)*'tep '!$H$25</f>
        <v>1.2825</v>
      </c>
      <c r="I15" s="18">
        <f>(I7+I5-I13)*'tep '!$H$25</f>
        <v>1.2825</v>
      </c>
      <c r="J15" s="18">
        <f>(J7+J5-J13)*'tep '!$H$25</f>
        <v>1.2825</v>
      </c>
      <c r="K15" s="18">
        <f>(K7+K5-K13)*'tep '!$H$25</f>
        <v>1.2825</v>
      </c>
      <c r="L15" s="18">
        <f>(L7+L5-L13)*'tep '!$H$25</f>
        <v>1.2825</v>
      </c>
      <c r="M15" s="18">
        <f>(M7+M5-M13)*'tep '!$H$25</f>
        <v>1.2825</v>
      </c>
      <c r="N15" s="18">
        <f>(N7+N5-N13)*'tep '!$H$25</f>
        <v>1.2825</v>
      </c>
    </row>
    <row r="16" spans="1:14" ht="16.5" customHeight="1" x14ac:dyDescent="0.25">
      <c r="A16" s="5">
        <v>15</v>
      </c>
      <c r="B16" s="77" t="s">
        <v>101</v>
      </c>
      <c r="C16" s="77"/>
      <c r="D16" s="77"/>
      <c r="E16" s="77"/>
      <c r="F16" s="77"/>
      <c r="G16" s="6">
        <f>G11</f>
        <v>0</v>
      </c>
      <c r="H16" s="6">
        <f t="shared" ref="H16:N16" si="7">H11</f>
        <v>0</v>
      </c>
      <c r="I16" s="6">
        <f t="shared" si="7"/>
        <v>1</v>
      </c>
      <c r="J16" s="6">
        <f t="shared" si="7"/>
        <v>0</v>
      </c>
      <c r="K16" s="6">
        <f t="shared" si="7"/>
        <v>0</v>
      </c>
      <c r="L16" s="6">
        <f t="shared" si="7"/>
        <v>1</v>
      </c>
      <c r="M16" s="6">
        <f t="shared" si="7"/>
        <v>0</v>
      </c>
      <c r="N16" s="6">
        <f t="shared" si="7"/>
        <v>0</v>
      </c>
    </row>
    <row r="17" spans="1:14" ht="16.5" customHeight="1" x14ac:dyDescent="0.25">
      <c r="A17" s="5">
        <v>16</v>
      </c>
      <c r="B17" s="77" t="s">
        <v>102</v>
      </c>
      <c r="C17" s="77"/>
      <c r="D17" s="77"/>
      <c r="E17" s="77"/>
      <c r="F17" s="77"/>
      <c r="G17" s="6">
        <f>G10</f>
        <v>5</v>
      </c>
      <c r="H17" s="6">
        <f t="shared" ref="H17:N17" si="8">H10</f>
        <v>5</v>
      </c>
      <c r="I17" s="6">
        <f t="shared" si="8"/>
        <v>4</v>
      </c>
      <c r="J17" s="6">
        <f t="shared" si="8"/>
        <v>5</v>
      </c>
      <c r="K17" s="6">
        <f t="shared" si="8"/>
        <v>5</v>
      </c>
      <c r="L17" s="6">
        <f t="shared" si="8"/>
        <v>4</v>
      </c>
      <c r="M17" s="6">
        <f t="shared" si="8"/>
        <v>5</v>
      </c>
      <c r="N17" s="6">
        <f t="shared" si="8"/>
        <v>5</v>
      </c>
    </row>
    <row r="18" spans="1:14" ht="16.5" customHeight="1" x14ac:dyDescent="0.25">
      <c r="A18" s="5">
        <v>17</v>
      </c>
      <c r="B18" s="77" t="s">
        <v>103</v>
      </c>
      <c r="C18" s="77"/>
      <c r="D18" s="77"/>
      <c r="E18" s="77"/>
      <c r="F18" s="77"/>
      <c r="G18" s="18">
        <v>0</v>
      </c>
      <c r="H18" s="18">
        <v>2</v>
      </c>
      <c r="I18" s="18">
        <v>2</v>
      </c>
      <c r="J18" s="18">
        <v>2</v>
      </c>
      <c r="K18" s="18">
        <v>2</v>
      </c>
      <c r="L18" s="18">
        <v>2</v>
      </c>
      <c r="M18" s="18">
        <v>2</v>
      </c>
      <c r="N18" s="18">
        <v>2</v>
      </c>
    </row>
    <row r="19" spans="1:14" ht="16.5" customHeight="1" x14ac:dyDescent="0.25">
      <c r="A19" s="5">
        <v>18</v>
      </c>
      <c r="B19" s="77" t="s">
        <v>104</v>
      </c>
      <c r="C19" s="77"/>
      <c r="D19" s="77"/>
      <c r="E19" s="77"/>
      <c r="F19" s="77"/>
      <c r="G19" s="6">
        <f>(G2*'tep '!$H$12)</f>
        <v>10</v>
      </c>
      <c r="H19" s="6">
        <f>(H2*'tep '!$H$12)</f>
        <v>10</v>
      </c>
      <c r="I19" s="6">
        <f>(I2*'tep '!$H$12)</f>
        <v>10</v>
      </c>
      <c r="J19" s="6">
        <f>(J2*'tep '!$H$12)</f>
        <v>10</v>
      </c>
      <c r="K19" s="6">
        <f>(K2*'tep '!$H$12)</f>
        <v>10</v>
      </c>
      <c r="L19" s="6">
        <f>(L2*'tep '!$H$12)</f>
        <v>10</v>
      </c>
      <c r="M19" s="6">
        <f>(M2*'tep '!$H$12)</f>
        <v>10</v>
      </c>
      <c r="N19" s="6">
        <f>(N2*'tep '!$H$12)</f>
        <v>10</v>
      </c>
    </row>
    <row r="20" spans="1:14" ht="16.5" customHeight="1" x14ac:dyDescent="0.25">
      <c r="A20" s="5">
        <v>19</v>
      </c>
      <c r="B20" s="77" t="s">
        <v>107</v>
      </c>
      <c r="C20" s="77"/>
      <c r="D20" s="77"/>
      <c r="E20" s="77"/>
      <c r="F20" s="77"/>
      <c r="G20" s="6">
        <f>G19</f>
        <v>10</v>
      </c>
      <c r="H20" s="6">
        <f t="shared" ref="H20:N20" si="9">H19</f>
        <v>10</v>
      </c>
      <c r="I20" s="6">
        <f t="shared" si="9"/>
        <v>10</v>
      </c>
      <c r="J20" s="6">
        <f t="shared" si="9"/>
        <v>10</v>
      </c>
      <c r="K20" s="6">
        <f t="shared" si="9"/>
        <v>10</v>
      </c>
      <c r="L20" s="6">
        <f t="shared" si="9"/>
        <v>10</v>
      </c>
      <c r="M20" s="6">
        <f t="shared" si="9"/>
        <v>10</v>
      </c>
      <c r="N20" s="6">
        <f t="shared" si="9"/>
        <v>10</v>
      </c>
    </row>
    <row r="21" spans="1:14" ht="16.5" customHeight="1" x14ac:dyDescent="0.25">
      <c r="A21" s="5">
        <v>20</v>
      </c>
      <c r="B21" s="77" t="s">
        <v>108</v>
      </c>
      <c r="C21" s="77"/>
      <c r="D21" s="77"/>
      <c r="E21" s="77"/>
      <c r="F21" s="77"/>
      <c r="G21" s="18">
        <f>G18</f>
        <v>0</v>
      </c>
      <c r="H21" s="18">
        <f t="shared" ref="H21:N21" si="10">H18</f>
        <v>2</v>
      </c>
      <c r="I21" s="18">
        <f t="shared" si="10"/>
        <v>2</v>
      </c>
      <c r="J21" s="18">
        <f t="shared" si="10"/>
        <v>2</v>
      </c>
      <c r="K21" s="18">
        <f t="shared" si="10"/>
        <v>2</v>
      </c>
      <c r="L21" s="18">
        <f t="shared" si="10"/>
        <v>2</v>
      </c>
      <c r="M21" s="18">
        <f t="shared" si="10"/>
        <v>2</v>
      </c>
      <c r="N21" s="18">
        <f t="shared" si="10"/>
        <v>2</v>
      </c>
    </row>
    <row r="22" spans="1:14" ht="16.5" customHeight="1" x14ac:dyDescent="0.25">
      <c r="A22" s="5">
        <v>21</v>
      </c>
      <c r="B22" s="77" t="s">
        <v>194</v>
      </c>
      <c r="C22" s="77"/>
      <c r="D22" s="77"/>
      <c r="E22" s="77"/>
      <c r="F22" s="77"/>
      <c r="G22" s="18">
        <f>(G6+G8+G4-G12-G14)</f>
        <v>62.842500000000001</v>
      </c>
      <c r="H22" s="18">
        <f t="shared" ref="H22:N22" si="11">(H6+H8+H4-H12-H14)</f>
        <v>62.842500000000001</v>
      </c>
      <c r="I22" s="18">
        <f t="shared" si="11"/>
        <v>62.842500000000001</v>
      </c>
      <c r="J22" s="18">
        <f t="shared" si="11"/>
        <v>62.842500000000001</v>
      </c>
      <c r="K22" s="18">
        <f t="shared" si="11"/>
        <v>62.842500000000001</v>
      </c>
      <c r="L22" s="18">
        <f t="shared" si="11"/>
        <v>62.842500000000001</v>
      </c>
      <c r="M22" s="18">
        <f t="shared" si="11"/>
        <v>62.842500000000001</v>
      </c>
      <c r="N22" s="18">
        <f t="shared" si="11"/>
        <v>62.842500000000001</v>
      </c>
    </row>
    <row r="23" spans="1:14" ht="16.5" customHeight="1" x14ac:dyDescent="0.25">
      <c r="A23" s="5">
        <v>22</v>
      </c>
      <c r="B23" s="88" t="s">
        <v>196</v>
      </c>
      <c r="C23" s="89"/>
      <c r="D23" s="89"/>
      <c r="E23" s="89"/>
      <c r="F23" s="90"/>
      <c r="G23" s="18">
        <f>G22-G24</f>
        <v>50.274000000000001</v>
      </c>
      <c r="H23" s="18">
        <f t="shared" ref="H23:N23" si="12">H22-H24</f>
        <v>50.274000000000001</v>
      </c>
      <c r="I23" s="18">
        <f t="shared" si="12"/>
        <v>50.274000000000001</v>
      </c>
      <c r="J23" s="18">
        <f t="shared" si="12"/>
        <v>50.274000000000001</v>
      </c>
      <c r="K23" s="18">
        <f t="shared" si="12"/>
        <v>50.274000000000001</v>
      </c>
      <c r="L23" s="18">
        <f t="shared" si="12"/>
        <v>50.274000000000001</v>
      </c>
      <c r="M23" s="18">
        <f t="shared" si="12"/>
        <v>50.274000000000001</v>
      </c>
      <c r="N23" s="18">
        <f t="shared" si="12"/>
        <v>50.274000000000001</v>
      </c>
    </row>
    <row r="24" spans="1:14" ht="16.5" customHeight="1" x14ac:dyDescent="0.25">
      <c r="A24" s="5">
        <v>23</v>
      </c>
      <c r="B24" s="88" t="s">
        <v>199</v>
      </c>
      <c r="C24" s="89"/>
      <c r="D24" s="89"/>
      <c r="E24" s="89"/>
      <c r="F24" s="90"/>
      <c r="G24" s="18">
        <f>G22*0.2</f>
        <v>12.5685</v>
      </c>
      <c r="H24" s="18">
        <f t="shared" ref="H24:N24" si="13">H22*0.2</f>
        <v>12.5685</v>
      </c>
      <c r="I24" s="18">
        <f t="shared" si="13"/>
        <v>12.5685</v>
      </c>
      <c r="J24" s="18">
        <f t="shared" si="13"/>
        <v>12.5685</v>
      </c>
      <c r="K24" s="18">
        <f t="shared" si="13"/>
        <v>12.5685</v>
      </c>
      <c r="L24" s="18">
        <f t="shared" si="13"/>
        <v>12.5685</v>
      </c>
      <c r="M24" s="18">
        <f t="shared" si="13"/>
        <v>12.5685</v>
      </c>
      <c r="N24" s="18">
        <f t="shared" si="13"/>
        <v>12.5685</v>
      </c>
    </row>
    <row r="25" spans="1:14" ht="16.5" customHeight="1" x14ac:dyDescent="0.25">
      <c r="A25" s="5">
        <v>24</v>
      </c>
      <c r="B25" s="77" t="s">
        <v>195</v>
      </c>
      <c r="C25" s="77"/>
      <c r="D25" s="77"/>
      <c r="E25" s="77"/>
      <c r="F25" s="77"/>
      <c r="G25" s="18">
        <f>(G7+G5+G9-G13-G15-G20)</f>
        <v>52.842500000000001</v>
      </c>
      <c r="H25" s="18">
        <f t="shared" ref="H25:N25" si="14">(H7+H5+H9-H13-H15-H20)</f>
        <v>52.842500000000001</v>
      </c>
      <c r="I25" s="18">
        <f t="shared" si="14"/>
        <v>52.842500000000001</v>
      </c>
      <c r="J25" s="18">
        <f t="shared" si="14"/>
        <v>52.842500000000001</v>
      </c>
      <c r="K25" s="18">
        <f t="shared" si="14"/>
        <v>52.842500000000001</v>
      </c>
      <c r="L25" s="18">
        <f t="shared" si="14"/>
        <v>52.842500000000001</v>
      </c>
      <c r="M25" s="18">
        <f t="shared" si="14"/>
        <v>52.842500000000001</v>
      </c>
      <c r="N25" s="18">
        <f t="shared" si="14"/>
        <v>52.842500000000001</v>
      </c>
    </row>
    <row r="26" spans="1:14" ht="16.5" customHeight="1" x14ac:dyDescent="0.25">
      <c r="A26" s="5">
        <v>25</v>
      </c>
      <c r="B26" s="88" t="s">
        <v>197</v>
      </c>
      <c r="C26" s="89"/>
      <c r="D26" s="89"/>
      <c r="E26" s="89"/>
      <c r="F26" s="90"/>
      <c r="G26" s="18">
        <f>G25-G27</f>
        <v>10.5685</v>
      </c>
      <c r="H26" s="18">
        <f t="shared" ref="H26:N26" si="15">H25-H27</f>
        <v>10.5685</v>
      </c>
      <c r="I26" s="18">
        <f t="shared" si="15"/>
        <v>10.5685</v>
      </c>
      <c r="J26" s="18">
        <f t="shared" si="15"/>
        <v>10.5685</v>
      </c>
      <c r="K26" s="18">
        <f t="shared" si="15"/>
        <v>10.5685</v>
      </c>
      <c r="L26" s="18">
        <f t="shared" si="15"/>
        <v>10.5685</v>
      </c>
      <c r="M26" s="18">
        <f t="shared" si="15"/>
        <v>10.5685</v>
      </c>
      <c r="N26" s="18">
        <f t="shared" si="15"/>
        <v>10.5685</v>
      </c>
    </row>
    <row r="27" spans="1:14" ht="16.5" customHeight="1" x14ac:dyDescent="0.25">
      <c r="A27" s="5">
        <v>26</v>
      </c>
      <c r="B27" s="88" t="s">
        <v>198</v>
      </c>
      <c r="C27" s="89"/>
      <c r="D27" s="89"/>
      <c r="E27" s="89"/>
      <c r="F27" s="90"/>
      <c r="G27" s="18">
        <f>G25*0.8</f>
        <v>42.274000000000001</v>
      </c>
      <c r="H27" s="18">
        <f t="shared" ref="H27:N27" si="16">H25*0.8</f>
        <v>42.274000000000001</v>
      </c>
      <c r="I27" s="18">
        <f t="shared" si="16"/>
        <v>42.274000000000001</v>
      </c>
      <c r="J27" s="18">
        <f t="shared" si="16"/>
        <v>42.274000000000001</v>
      </c>
      <c r="K27" s="18">
        <f t="shared" si="16"/>
        <v>42.274000000000001</v>
      </c>
      <c r="L27" s="18">
        <f t="shared" si="16"/>
        <v>42.274000000000001</v>
      </c>
      <c r="M27" s="18">
        <f t="shared" si="16"/>
        <v>42.274000000000001</v>
      </c>
      <c r="N27" s="18">
        <f t="shared" si="16"/>
        <v>42.274000000000001</v>
      </c>
    </row>
    <row r="28" spans="1:14" ht="16.5" customHeight="1" x14ac:dyDescent="0.25">
      <c r="A28" s="5">
        <v>27</v>
      </c>
      <c r="B28" s="77" t="s">
        <v>109</v>
      </c>
      <c r="C28" s="77"/>
      <c r="D28" s="77"/>
      <c r="E28" s="77"/>
      <c r="F28" s="77"/>
      <c r="G28" s="6">
        <f>(G2+G17+G20-G19-G10)</f>
        <v>100</v>
      </c>
      <c r="H28" s="6">
        <f t="shared" ref="H28:N28" si="17">(H2+H17+H20-H19-H10)</f>
        <v>100</v>
      </c>
      <c r="I28" s="6">
        <f t="shared" si="17"/>
        <v>100</v>
      </c>
      <c r="J28" s="6">
        <f t="shared" si="17"/>
        <v>100</v>
      </c>
      <c r="K28" s="6">
        <f t="shared" si="17"/>
        <v>100</v>
      </c>
      <c r="L28" s="6">
        <f t="shared" si="17"/>
        <v>100</v>
      </c>
      <c r="M28" s="6">
        <f t="shared" si="17"/>
        <v>100</v>
      </c>
      <c r="N28" s="6">
        <f t="shared" si="17"/>
        <v>100</v>
      </c>
    </row>
    <row r="29" spans="1:14" ht="16.5" customHeight="1" x14ac:dyDescent="0.25">
      <c r="A29" s="5">
        <v>28</v>
      </c>
      <c r="B29" s="77" t="s">
        <v>110</v>
      </c>
      <c r="C29" s="77"/>
      <c r="D29" s="77"/>
      <c r="E29" s="77"/>
      <c r="F29" s="77"/>
      <c r="G29" s="6">
        <f>(G3+G21+G16-G18-G11)</f>
        <v>5</v>
      </c>
      <c r="H29" s="6">
        <f t="shared" ref="H29:N29" si="18">(H3+H21+H16-H18-H11)</f>
        <v>5</v>
      </c>
      <c r="I29" s="6">
        <f t="shared" si="18"/>
        <v>5</v>
      </c>
      <c r="J29" s="6">
        <f t="shared" si="18"/>
        <v>5</v>
      </c>
      <c r="K29" s="6">
        <f t="shared" si="18"/>
        <v>5</v>
      </c>
      <c r="L29" s="6">
        <f t="shared" si="18"/>
        <v>5</v>
      </c>
      <c r="M29" s="6">
        <f t="shared" si="18"/>
        <v>5</v>
      </c>
      <c r="N29" s="6">
        <f t="shared" si="18"/>
        <v>5</v>
      </c>
    </row>
    <row r="30" spans="1:14" ht="16.5" customHeight="1" x14ac:dyDescent="0.25">
      <c r="A30" s="5">
        <v>29</v>
      </c>
      <c r="B30" s="77" t="s">
        <v>111</v>
      </c>
      <c r="C30" s="77"/>
      <c r="D30" s="77"/>
      <c r="E30" s="77"/>
      <c r="F30" s="77"/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</row>
    <row r="31" spans="1:14" ht="16.5" customHeight="1" x14ac:dyDescent="0.25">
      <c r="A31" s="5">
        <v>30</v>
      </c>
      <c r="B31" s="77" t="s">
        <v>112</v>
      </c>
      <c r="C31" s="77"/>
      <c r="D31" s="77"/>
      <c r="E31" s="77"/>
      <c r="F31" s="77"/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</row>
    <row r="32" spans="1:14" ht="16.5" customHeight="1" x14ac:dyDescent="0.25">
      <c r="A32" s="5">
        <v>31</v>
      </c>
      <c r="B32" s="77" t="s">
        <v>113</v>
      </c>
      <c r="C32" s="77"/>
      <c r="D32" s="77"/>
      <c r="E32" s="77"/>
      <c r="F32" s="77"/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</row>
    <row r="33" spans="1:14" ht="16.5" customHeight="1" x14ac:dyDescent="0.25">
      <c r="A33" s="5">
        <v>32</v>
      </c>
      <c r="B33" s="77" t="s">
        <v>114</v>
      </c>
      <c r="C33" s="77"/>
      <c r="D33" s="77"/>
      <c r="E33" s="77"/>
      <c r="F33" s="77"/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0</v>
      </c>
      <c r="N33" s="18">
        <v>0</v>
      </c>
    </row>
    <row r="34" spans="1:14" ht="16.5" customHeight="1" x14ac:dyDescent="0.25">
      <c r="A34" s="5"/>
      <c r="B34" s="93" t="s">
        <v>115</v>
      </c>
      <c r="C34" s="93"/>
      <c r="D34" s="93"/>
      <c r="E34" s="93"/>
      <c r="F34" s="93"/>
      <c r="G34" s="24">
        <f>SUM(G28,G29,G30,G31,G32,G33)</f>
        <v>105</v>
      </c>
      <c r="H34" s="24">
        <f t="shared" ref="H34:N34" si="19">SUM(H28,H29,H30,H31,H32,H33)</f>
        <v>105</v>
      </c>
      <c r="I34" s="24">
        <f t="shared" si="19"/>
        <v>105</v>
      </c>
      <c r="J34" s="24">
        <f t="shared" si="19"/>
        <v>105</v>
      </c>
      <c r="K34" s="24">
        <f t="shared" si="19"/>
        <v>105</v>
      </c>
      <c r="L34" s="24">
        <f t="shared" si="19"/>
        <v>105</v>
      </c>
      <c r="M34" s="24">
        <f t="shared" si="19"/>
        <v>105</v>
      </c>
      <c r="N34" s="24">
        <f t="shared" si="19"/>
        <v>105</v>
      </c>
    </row>
  </sheetData>
  <mergeCells count="33">
    <mergeCell ref="B30:F30"/>
    <mergeCell ref="B31:F31"/>
    <mergeCell ref="B32:F32"/>
    <mergeCell ref="B33:F33"/>
    <mergeCell ref="B34:F34"/>
    <mergeCell ref="B29:F29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5:F25"/>
    <mergeCell ref="B28:F28"/>
    <mergeCell ref="B27:F27"/>
    <mergeCell ref="B23:F23"/>
    <mergeCell ref="B24:F24"/>
    <mergeCell ref="B26:F26"/>
    <mergeCell ref="B13:F13"/>
    <mergeCell ref="B2:F2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2:F12"/>
  </mergeCells>
  <pageMargins left="0.7" right="0.7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opLeftCell="B1" zoomScale="110" zoomScaleNormal="110" workbookViewId="0">
      <selection activeCell="N12" sqref="N12"/>
    </sheetView>
  </sheetViews>
  <sheetFormatPr defaultRowHeight="16.5" customHeight="1" x14ac:dyDescent="0.25"/>
  <cols>
    <col min="1" max="1" width="3.28515625" customWidth="1"/>
  </cols>
  <sheetData>
    <row r="1" spans="1:17" ht="16.5" customHeight="1" x14ac:dyDescent="0.25">
      <c r="B1" s="78" t="s">
        <v>124</v>
      </c>
      <c r="C1" s="78"/>
      <c r="D1" s="78"/>
      <c r="E1" s="78"/>
      <c r="F1" s="78"/>
    </row>
    <row r="2" spans="1:17" ht="16.5" customHeight="1" x14ac:dyDescent="0.25">
      <c r="A2" s="4"/>
      <c r="B2" s="93" t="s">
        <v>137</v>
      </c>
      <c r="C2" s="93"/>
      <c r="D2" s="93"/>
      <c r="E2" s="93"/>
      <c r="F2" s="93"/>
      <c r="G2" s="25" t="s">
        <v>116</v>
      </c>
      <c r="H2" s="25" t="s">
        <v>117</v>
      </c>
      <c r="I2" s="25" t="s">
        <v>139</v>
      </c>
      <c r="J2" s="25" t="s">
        <v>119</v>
      </c>
      <c r="K2" s="25" t="s">
        <v>120</v>
      </c>
      <c r="L2" s="25" t="s">
        <v>121</v>
      </c>
      <c r="M2" s="25" t="s">
        <v>122</v>
      </c>
      <c r="N2" s="25" t="s">
        <v>123</v>
      </c>
    </row>
    <row r="3" spans="1:17" ht="16.5" customHeight="1" x14ac:dyDescent="0.25">
      <c r="A3" s="5">
        <v>1</v>
      </c>
      <c r="B3" s="77" t="s">
        <v>125</v>
      </c>
      <c r="C3" s="77"/>
      <c r="D3" s="77"/>
      <c r="E3" s="77"/>
      <c r="F3" s="77"/>
      <c r="G3" s="19">
        <f>('flock projection'!G23*'tep '!$H$18*'tep '!$H$19)</f>
        <v>603288</v>
      </c>
      <c r="H3" s="19">
        <f>('flock projection'!H23*'tep '!$H$18*'tep '!$H$19)*1.05</f>
        <v>633452.4</v>
      </c>
      <c r="I3" s="19">
        <f>('flock projection'!I23*'tep '!$H$18*'tep '!$H$19)*1.1</f>
        <v>663616.80000000005</v>
      </c>
      <c r="J3" s="19">
        <f>('flock projection'!J23*'tep '!$H$18*'tep '!$H$19)*1.15</f>
        <v>693781.2</v>
      </c>
      <c r="K3" s="19">
        <f>('flock projection'!K23*'tep '!$H$18*'tep '!$H$19)*1.2</f>
        <v>723945.6</v>
      </c>
      <c r="L3" s="19">
        <f>('flock projection'!L23*'tep '!$H$18*'tep '!$H$19)*1.25</f>
        <v>754110</v>
      </c>
      <c r="M3" s="19">
        <f>('flock projection'!M23*'tep '!$H$18*'tep '!$H$19)*1.3</f>
        <v>784274.4</v>
      </c>
      <c r="N3" s="19">
        <f>('flock projection'!N23*'tep '!$H$18*'tep '!$H$19)*1.35</f>
        <v>814438.8</v>
      </c>
    </row>
    <row r="4" spans="1:17" ht="16.5" customHeight="1" x14ac:dyDescent="0.25">
      <c r="A4" s="5">
        <v>2</v>
      </c>
      <c r="B4" s="88" t="s">
        <v>201</v>
      </c>
      <c r="C4" s="89"/>
      <c r="D4" s="89"/>
      <c r="E4" s="89"/>
      <c r="F4" s="90"/>
      <c r="G4" s="19">
        <f>'flock projection'!G24*'tep '!$H$21</f>
        <v>201096</v>
      </c>
      <c r="H4" s="19">
        <f>'flock projection'!H24*'tep '!$H$21*1.05</f>
        <v>211150.80000000002</v>
      </c>
      <c r="I4" s="19">
        <f>'flock projection'!I24*'tep '!$H$21*1.1</f>
        <v>221205.6</v>
      </c>
      <c r="J4" s="19">
        <f>'flock projection'!J24*'tep '!$H$21*1.15</f>
        <v>231260.4</v>
      </c>
      <c r="K4" s="19">
        <f>'flock projection'!K24*'tep '!$H$21*1.2</f>
        <v>241315.19999999998</v>
      </c>
      <c r="L4" s="19">
        <f>'flock projection'!L24*'tep '!$H$21*1.25</f>
        <v>251370</v>
      </c>
      <c r="M4" s="19">
        <f>'flock projection'!M24*'tep '!$H$21*1.3</f>
        <v>261424.80000000002</v>
      </c>
      <c r="N4" s="19">
        <f>'flock projection'!N24*'tep '!$H$21*1.35</f>
        <v>271479.60000000003</v>
      </c>
    </row>
    <row r="5" spans="1:17" ht="16.5" customHeight="1" x14ac:dyDescent="0.25">
      <c r="A5" s="5">
        <v>3</v>
      </c>
      <c r="B5" s="77" t="s">
        <v>126</v>
      </c>
      <c r="C5" s="77"/>
      <c r="D5" s="77"/>
      <c r="E5" s="77"/>
      <c r="F5" s="77"/>
      <c r="G5" s="19">
        <f>('flock projection'!G26*'tep '!$H$18*'tep '!$H$20)</f>
        <v>118895.625</v>
      </c>
      <c r="H5" s="19">
        <f>('flock projection'!H26*'tep '!$H$18*'tep '!$H$20)*1.05</f>
        <v>124840.40625</v>
      </c>
      <c r="I5" s="19">
        <f>('flock projection'!I26*'tep '!$H$18*'tep '!$H$20)*1.1</f>
        <v>130785.18750000001</v>
      </c>
      <c r="J5" s="19">
        <f>('flock projection'!J26*'tep '!$H$18*'tep '!$H$20)*1.15</f>
        <v>136729.96875</v>
      </c>
      <c r="K5" s="19">
        <f>('flock projection'!K26*'tep '!$H$18*'tep '!$H$20)*1.2</f>
        <v>142674.75</v>
      </c>
      <c r="L5" s="19">
        <f>('flock projection'!L26*'tep '!$H$18*'tep '!$H$20)*1.25</f>
        <v>148619.53125</v>
      </c>
      <c r="M5" s="19">
        <f>('flock projection'!M26*'tep '!$H$18*'tep '!$H$20)*1.3</f>
        <v>154564.3125</v>
      </c>
      <c r="N5" s="19">
        <f>('flock projection'!N26*'tep '!$H$18*'tep '!$H$20)*1.35</f>
        <v>160509.09375</v>
      </c>
    </row>
    <row r="6" spans="1:17" ht="16.5" customHeight="1" x14ac:dyDescent="0.25">
      <c r="A6" s="5">
        <v>4</v>
      </c>
      <c r="B6" s="88" t="s">
        <v>200</v>
      </c>
      <c r="C6" s="89"/>
      <c r="D6" s="89"/>
      <c r="E6" s="89"/>
      <c r="F6" s="90"/>
      <c r="G6" s="19">
        <f>'flock projection'!G27*'tep '!$H$22</f>
        <v>591836</v>
      </c>
      <c r="H6" s="19">
        <f>'flock projection'!H27*'tep '!$H$22*1.05</f>
        <v>621427.80000000005</v>
      </c>
      <c r="I6" s="19">
        <f>'flock projection'!I27*'tep '!$H$22*1.1</f>
        <v>651019.60000000009</v>
      </c>
      <c r="J6" s="19">
        <f>'flock projection'!J27*'tep '!$H$22*1.15</f>
        <v>680611.39999999991</v>
      </c>
      <c r="K6" s="19">
        <f>'flock projection'!K27*'tep '!$H$22*1.2</f>
        <v>710203.2</v>
      </c>
      <c r="L6" s="19">
        <f>'flock projection'!L27*'tep '!$H$22*1.25</f>
        <v>739795</v>
      </c>
      <c r="M6" s="19">
        <f>'flock projection'!M27*'tep '!$H$22*1.3</f>
        <v>769386.8</v>
      </c>
      <c r="N6" s="19">
        <f>'flock projection'!N27*'tep '!$H$22*1.35</f>
        <v>798978.60000000009</v>
      </c>
    </row>
    <row r="7" spans="1:17" ht="16.5" customHeight="1" x14ac:dyDescent="0.25">
      <c r="A7" s="5">
        <v>5</v>
      </c>
      <c r="B7" s="77" t="s">
        <v>127</v>
      </c>
      <c r="C7" s="77"/>
      <c r="D7" s="77"/>
      <c r="E7" s="77"/>
      <c r="F7" s="77"/>
      <c r="G7" s="19">
        <f>('flock projection'!G14*'tep '!$H$18*'tep '!$H$19)</f>
        <v>15390</v>
      </c>
      <c r="H7" s="19">
        <f>('flock projection'!H14*'tep '!$H$18*'tep '!$H$19)*1.05</f>
        <v>16159.5</v>
      </c>
      <c r="I7" s="19">
        <f>('flock projection'!I14*'tep '!$H$18*'tep '!$H$19)*1.1</f>
        <v>16929</v>
      </c>
      <c r="J7" s="19">
        <f>('flock projection'!J14*'tep '!$H$18*'tep '!$H$19)*1.15</f>
        <v>17698.5</v>
      </c>
      <c r="K7" s="19">
        <f>('flock projection'!K14*'tep '!$H$18*'tep '!$H$19)*1.2</f>
        <v>18468</v>
      </c>
      <c r="L7" s="19">
        <f>('flock projection'!L14*'tep '!$H$18*'tep '!$H$19)*1.25</f>
        <v>19237.5</v>
      </c>
      <c r="M7" s="19">
        <f>('flock projection'!M14*'tep '!$H$18*'tep '!$H$19)*1.3</f>
        <v>20007</v>
      </c>
      <c r="N7" s="19">
        <f>('flock projection'!N14*'tep '!$H$18*'tep '!$H$19)*1.35</f>
        <v>20776.5</v>
      </c>
      <c r="Q7">
        <f>'flock projection'!G23*'tep '!H19*'tep '!H18</f>
        <v>603288</v>
      </c>
    </row>
    <row r="8" spans="1:17" ht="16.5" customHeight="1" x14ac:dyDescent="0.25">
      <c r="A8" s="5">
        <v>6</v>
      </c>
      <c r="B8" s="77" t="s">
        <v>128</v>
      </c>
      <c r="C8" s="77"/>
      <c r="D8" s="77"/>
      <c r="E8" s="77"/>
      <c r="F8" s="77"/>
      <c r="G8" s="19">
        <f>('flock projection'!G15*'tep '!$H$18*'tep '!$H$20)</f>
        <v>14428.125</v>
      </c>
      <c r="H8" s="19">
        <f>('flock projection'!H15*'tep '!$H$18*'tep '!$H$20)*1.05</f>
        <v>15149.53125</v>
      </c>
      <c r="I8" s="19">
        <f>('flock projection'!I15*'tep '!$H$18*'tep '!$H$20)*1.1</f>
        <v>15870.937500000002</v>
      </c>
      <c r="J8" s="19">
        <f>('flock projection'!J15*'tep '!$H$18*'tep '!$H$20)*1.15</f>
        <v>16592.34375</v>
      </c>
      <c r="K8" s="19">
        <f>('flock projection'!K15*'tep '!$H$18*'tep '!$H$20)*1.2</f>
        <v>17313.75</v>
      </c>
      <c r="L8" s="19">
        <f>('flock projection'!L15*'tep '!$H$18*'tep '!$H$20)*1.25</f>
        <v>18035.15625</v>
      </c>
      <c r="M8" s="19">
        <f>('flock projection'!M15*'tep '!$H$18*'tep '!$H$20)*1.3</f>
        <v>18756.5625</v>
      </c>
      <c r="N8" s="19">
        <f>('flock projection'!N15*'tep '!$H$18*'tep '!$H$20)*1.35</f>
        <v>19477.96875</v>
      </c>
    </row>
    <row r="9" spans="1:17" ht="16.5" customHeight="1" x14ac:dyDescent="0.25">
      <c r="A9" s="5">
        <v>7</v>
      </c>
      <c r="B9" s="88" t="s">
        <v>173</v>
      </c>
      <c r="C9" s="89"/>
      <c r="D9" s="89"/>
      <c r="E9" s="89"/>
      <c r="F9" s="90"/>
      <c r="G9" s="19">
        <f>('flock projection'!G18*'tep '!$H$5*0.8)</f>
        <v>0</v>
      </c>
      <c r="H9" s="19">
        <f>('flock projection'!H18*'tep '!$H$5*0.8)</f>
        <v>32000</v>
      </c>
      <c r="I9" s="19">
        <f>('flock projection'!I18*'tep '!$H$5*0.8)</f>
        <v>32000</v>
      </c>
      <c r="J9" s="19">
        <f>('flock projection'!J18*'tep '!$H$5*0.8)</f>
        <v>32000</v>
      </c>
      <c r="K9" s="19">
        <f>('flock projection'!K18*'tep '!$H$5*0.8)</f>
        <v>32000</v>
      </c>
      <c r="L9" s="19">
        <f>('flock projection'!L18*'tep '!$H$5*0.8)</f>
        <v>32000</v>
      </c>
      <c r="M9" s="19">
        <f>('flock projection'!M18*'tep '!$H$5*0.8)</f>
        <v>32000</v>
      </c>
      <c r="N9" s="19">
        <f>('flock projection'!N18*'tep '!$H$5*0.8)</f>
        <v>32000</v>
      </c>
      <c r="Q9">
        <f>50*400*30</f>
        <v>600000</v>
      </c>
    </row>
    <row r="10" spans="1:17" ht="16.5" customHeight="1" x14ac:dyDescent="0.25">
      <c r="A10" s="5">
        <v>8</v>
      </c>
      <c r="B10" s="88" t="s">
        <v>174</v>
      </c>
      <c r="C10" s="89"/>
      <c r="D10" s="89"/>
      <c r="E10" s="89"/>
      <c r="F10" s="90"/>
      <c r="G10" s="19">
        <f>('flock projection'!G19*'tep '!$H$3*0.9)</f>
        <v>90000</v>
      </c>
      <c r="H10" s="19">
        <f>('flock projection'!H19*'tep '!$H$3*0.9)</f>
        <v>90000</v>
      </c>
      <c r="I10" s="19">
        <f>('flock projection'!I19*'tep '!$H$3*0.9)</f>
        <v>90000</v>
      </c>
      <c r="J10" s="19">
        <f>('flock projection'!J19*'tep '!$H$3*0.9)</f>
        <v>90000</v>
      </c>
      <c r="K10" s="19">
        <f>('flock projection'!K19*'tep '!$H$3*0.9)</f>
        <v>90000</v>
      </c>
      <c r="L10" s="19">
        <f>('flock projection'!L19*'tep '!$H$3*0.9)</f>
        <v>90000</v>
      </c>
      <c r="M10" s="19">
        <f>('flock projection'!M19*'tep '!$H$3*0.9)</f>
        <v>90000</v>
      </c>
      <c r="N10" s="19">
        <f>('flock projection'!N19*'tep '!$H$3*0.9)</f>
        <v>90000</v>
      </c>
    </row>
    <row r="11" spans="1:17" ht="16.5" customHeight="1" x14ac:dyDescent="0.25">
      <c r="A11" s="5">
        <v>9</v>
      </c>
      <c r="B11" s="77" t="s">
        <v>129</v>
      </c>
      <c r="C11" s="77"/>
      <c r="D11" s="77"/>
      <c r="E11" s="77"/>
      <c r="F11" s="77"/>
      <c r="G11" s="19">
        <f>(('flock projection'!G28+'flock projection'!G29)*expenditure!$H$7*365*(expenditure!$H$9/1000))+(('flock projection'!G30+'flock projection'!G31+'flock projection'!G32+'flock projection'!G33)*expenditure!$H$8*(expenditure!$H$9/1000))</f>
        <v>38325</v>
      </c>
      <c r="H11" s="19">
        <f>1.05*(('flock projection'!H28+'flock projection'!H29)*expenditure!$H$7*365*(expenditure!$H$9/1000))+(('flock projection'!H30+'flock projection'!H31+'flock projection'!H32+'flock projection'!H33)*expenditure!$H$8*(expenditure!$H$9/1000))</f>
        <v>40241.25</v>
      </c>
      <c r="I11" s="19">
        <f>1.1*(('flock projection'!I28+'flock projection'!I29)*expenditure!$H$7*365*(expenditure!$H$9/1000))+(('flock projection'!I30+'flock projection'!I31+'flock projection'!I32+'flock projection'!I33)*expenditure!$H$8*(expenditure!$H$9/1000))</f>
        <v>42157.5</v>
      </c>
      <c r="J11" s="19">
        <f>1.15*(('flock projection'!J28+'flock projection'!J29)*expenditure!$H$7*365*(expenditure!$H$9/1000))+(('flock projection'!J30+'flock projection'!J31+'flock projection'!J32+'flock projection'!J33)*expenditure!$H$8*(expenditure!$H$9/1000))</f>
        <v>44073.75</v>
      </c>
      <c r="K11" s="19">
        <f>1.2*(('flock projection'!K28+'flock projection'!K29)*expenditure!$H$7*365*(expenditure!$H$9/1000))+(('flock projection'!K30+'flock projection'!K31+'flock projection'!K32+'flock projection'!K33)*expenditure!$H$8*(expenditure!$H$9/1000))</f>
        <v>45990</v>
      </c>
      <c r="L11" s="19">
        <f>1.25*(('flock projection'!L28+'flock projection'!L29)*expenditure!$H$7*365*(expenditure!$H$9/1000))+(('flock projection'!L30+'flock projection'!L31+'flock projection'!L32+'flock projection'!L33)*expenditure!$H$8*(expenditure!$H$9/1000))</f>
        <v>47906.25</v>
      </c>
      <c r="M11" s="19">
        <f>1.3*(('flock projection'!M28+'flock projection'!M29)*expenditure!$H$7*365*(expenditure!$H$9/1000))+(('flock projection'!M30+'flock projection'!M31+'flock projection'!M32+'flock projection'!M33)*expenditure!$H$8*(expenditure!$H$9/1000))</f>
        <v>49822.5</v>
      </c>
      <c r="N11" s="19">
        <f>1.35*(('flock projection'!N28+'flock projection'!N29)*expenditure!$H$7*365*(expenditure!$H$9/1000))+(('flock projection'!N30+'flock projection'!N31+'flock projection'!N32+'flock projection'!N33)*expenditure!$H$8*(expenditure!$H$9/1000))</f>
        <v>51738.75</v>
      </c>
    </row>
    <row r="12" spans="1:17" ht="16.5" customHeight="1" x14ac:dyDescent="0.25">
      <c r="A12" s="5">
        <v>10</v>
      </c>
      <c r="B12" s="88" t="s">
        <v>187</v>
      </c>
      <c r="C12" s="89"/>
      <c r="D12" s="89"/>
      <c r="E12" s="89"/>
      <c r="F12" s="90"/>
      <c r="G12" s="19"/>
      <c r="H12" s="19"/>
      <c r="I12" s="19"/>
      <c r="J12" s="19"/>
      <c r="K12" s="19"/>
      <c r="L12" s="19"/>
      <c r="M12" s="19"/>
      <c r="N12" s="19">
        <f>('flock projection'!N28*'tep '!H3*2)+('tep '!H5*2*'flock projection'!N29)</f>
        <v>2200000</v>
      </c>
    </row>
    <row r="13" spans="1:17" ht="16.5" customHeight="1" x14ac:dyDescent="0.25">
      <c r="A13" s="5">
        <v>11</v>
      </c>
      <c r="B13" s="88" t="s">
        <v>188</v>
      </c>
      <c r="C13" s="89"/>
      <c r="D13" s="89"/>
      <c r="E13" s="89"/>
      <c r="F13" s="90"/>
      <c r="G13" s="19"/>
      <c r="H13" s="19"/>
      <c r="I13" s="19"/>
      <c r="J13" s="19"/>
      <c r="K13" s="19"/>
      <c r="L13" s="19"/>
      <c r="M13" s="19"/>
      <c r="N13" s="19">
        <f>(expenditure!H15)-SUM(G31:N31)</f>
        <v>350400</v>
      </c>
    </row>
    <row r="14" spans="1:17" ht="16.5" customHeight="1" x14ac:dyDescent="0.25">
      <c r="A14" s="5"/>
      <c r="B14" s="88" t="s">
        <v>222</v>
      </c>
      <c r="C14" s="89"/>
      <c r="D14" s="89"/>
      <c r="E14" s="89"/>
      <c r="F14" s="90"/>
      <c r="G14" s="19"/>
      <c r="H14" s="19"/>
      <c r="I14" s="19"/>
      <c r="J14" s="19"/>
      <c r="K14" s="19"/>
      <c r="L14" s="19"/>
      <c r="M14" s="19"/>
      <c r="N14" s="19">
        <f>SUM(expenditure!H16,expenditure!H17)-SUM('cash flow'!G32:N32)</f>
        <v>17111.25</v>
      </c>
    </row>
    <row r="15" spans="1:17" ht="16.5" customHeight="1" x14ac:dyDescent="0.25">
      <c r="A15" s="5"/>
      <c r="B15" s="93" t="s">
        <v>138</v>
      </c>
      <c r="C15" s="93"/>
      <c r="D15" s="93"/>
      <c r="E15" s="93"/>
      <c r="F15" s="93"/>
      <c r="G15" s="55">
        <f t="shared" ref="G15:M15" si="0">SUM(G3:G14)</f>
        <v>1673258.75</v>
      </c>
      <c r="H15" s="55">
        <f t="shared" si="0"/>
        <v>1784421.6875</v>
      </c>
      <c r="I15" s="55">
        <f t="shared" si="0"/>
        <v>1863584.625</v>
      </c>
      <c r="J15" s="55">
        <f t="shared" si="0"/>
        <v>1942747.5625</v>
      </c>
      <c r="K15" s="55">
        <f t="shared" si="0"/>
        <v>2021910.4999999998</v>
      </c>
      <c r="L15" s="55">
        <f t="shared" si="0"/>
        <v>2101073.4375</v>
      </c>
      <c r="M15" s="55">
        <f t="shared" si="0"/>
        <v>2180236.375</v>
      </c>
      <c r="N15" s="55">
        <f>SUM(N3:N14)</f>
        <v>4826910.5625</v>
      </c>
    </row>
    <row r="16" spans="1:17" ht="12.75" customHeight="1" x14ac:dyDescent="0.25">
      <c r="A16" s="1"/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</row>
    <row r="17" spans="1:14" ht="16.5" customHeight="1" x14ac:dyDescent="0.25">
      <c r="A17" s="5"/>
      <c r="B17" s="93" t="s">
        <v>192</v>
      </c>
      <c r="C17" s="93"/>
      <c r="D17" s="93"/>
      <c r="E17" s="93"/>
      <c r="F17" s="93"/>
      <c r="G17" s="25" t="s">
        <v>116</v>
      </c>
      <c r="H17" s="25" t="s">
        <v>117</v>
      </c>
      <c r="I17" s="25" t="s">
        <v>139</v>
      </c>
      <c r="J17" s="25" t="s">
        <v>119</v>
      </c>
      <c r="K17" s="25" t="s">
        <v>120</v>
      </c>
      <c r="L17" s="25" t="s">
        <v>121</v>
      </c>
      <c r="M17" s="25" t="s">
        <v>122</v>
      </c>
      <c r="N17" s="25" t="s">
        <v>123</v>
      </c>
    </row>
    <row r="18" spans="1:14" ht="16.5" customHeight="1" x14ac:dyDescent="0.25">
      <c r="A18" s="5">
        <v>1</v>
      </c>
      <c r="B18" s="77" t="s">
        <v>130</v>
      </c>
      <c r="C18" s="77"/>
      <c r="D18" s="77"/>
      <c r="E18" s="77"/>
      <c r="F18" s="77"/>
      <c r="G18" s="19">
        <f>('flock projection'!G28+'flock projection'!G29)*'tep '!$H$31*'tep '!$H$33</f>
        <v>78750</v>
      </c>
      <c r="H18" s="19">
        <f>('flock projection'!H2+'flock projection'!H3)*'tep '!$H$31*'tep '!$H$33*1.05</f>
        <v>82687.5</v>
      </c>
      <c r="I18" s="19">
        <f>('flock projection'!I2+'flock projection'!I3)*'tep '!$H$31*'tep '!$H$33*1.1</f>
        <v>86625</v>
      </c>
      <c r="J18" s="19">
        <f>('flock projection'!J2+'flock projection'!J3)*'tep '!$H$31*'tep '!$H$33*1.15</f>
        <v>90562.5</v>
      </c>
      <c r="K18" s="19">
        <f>('flock projection'!K2+'flock projection'!K3)*'tep '!$H$31*'tep '!$H$33*1.2</f>
        <v>94500</v>
      </c>
      <c r="L18" s="19">
        <f>('flock projection'!L2+'flock projection'!L3)*'tep '!$H$31*'tep '!$H$33*1.25</f>
        <v>98437.5</v>
      </c>
      <c r="M18" s="19">
        <f>('flock projection'!M2+'flock projection'!M3)*'tep '!$H$31*'tep '!$H$33*1.3</f>
        <v>102375</v>
      </c>
      <c r="N18" s="19">
        <f>('flock projection'!N2+'flock projection'!N3)*'tep '!$H$31*'tep '!$H$33*1.35</f>
        <v>106312.5</v>
      </c>
    </row>
    <row r="19" spans="1:14" ht="16.5" customHeight="1" x14ac:dyDescent="0.25">
      <c r="A19" s="5">
        <v>2</v>
      </c>
      <c r="B19" s="77" t="s">
        <v>131</v>
      </c>
      <c r="C19" s="77"/>
      <c r="D19" s="77"/>
      <c r="E19" s="77"/>
      <c r="F19" s="77"/>
      <c r="G19" s="19">
        <f>('flock projection'!G6+'flock projection'!G7)*'tep '!$H$32*'tep '!$H$33</f>
        <v>40500</v>
      </c>
      <c r="H19" s="19">
        <f>('flock projection'!H6+'flock projection'!H7)*'tep '!$H$32*'tep '!$H$33*1.05</f>
        <v>42525</v>
      </c>
      <c r="I19" s="19">
        <f>('flock projection'!I6+'flock projection'!I7)*'tep '!$H$32*'tep '!$H$33*1.1</f>
        <v>44550</v>
      </c>
      <c r="J19" s="19">
        <f>('flock projection'!J6+'flock projection'!J7)*'tep '!$H$32*'tep '!$H$33*1.15</f>
        <v>46575</v>
      </c>
      <c r="K19" s="19">
        <f>('flock projection'!K6+'flock projection'!K7)*'tep '!$H$32*'tep '!$H$33*1.2</f>
        <v>48600</v>
      </c>
      <c r="L19" s="19">
        <f>('flock projection'!L6+'flock projection'!L7)*'tep '!$H$32*'tep '!$H$33*1.25</f>
        <v>50625</v>
      </c>
      <c r="M19" s="19">
        <f>('flock projection'!M6+'flock projection'!M7)*'tep '!$H$32*'tep '!$H$33*1.3</f>
        <v>52650</v>
      </c>
      <c r="N19" s="19">
        <f>('flock projection'!N6+'flock projection'!N7)*'tep '!$H$32*'tep '!$H$33*1.35</f>
        <v>54675</v>
      </c>
    </row>
    <row r="20" spans="1:14" ht="16.5" customHeight="1" x14ac:dyDescent="0.25">
      <c r="A20" s="5">
        <v>3</v>
      </c>
      <c r="B20" s="77" t="s">
        <v>70</v>
      </c>
      <c r="C20" s="77"/>
      <c r="D20" s="77"/>
      <c r="E20" s="77"/>
      <c r="F20" s="77"/>
      <c r="G20" s="19">
        <f>expenditure!H23</f>
        <v>66666.666666666672</v>
      </c>
      <c r="H20" s="19">
        <f>G20*1.05</f>
        <v>70000.000000000015</v>
      </c>
      <c r="I20" s="19">
        <f>G20*1.1</f>
        <v>73333.333333333343</v>
      </c>
      <c r="J20" s="19">
        <f>G20*1.15</f>
        <v>76666.666666666672</v>
      </c>
      <c r="K20" s="19">
        <f>G20*1.2</f>
        <v>80000</v>
      </c>
      <c r="L20" s="19">
        <f>G20*1.25</f>
        <v>83333.333333333343</v>
      </c>
      <c r="M20" s="19">
        <f>G20*1.3</f>
        <v>86666.666666666672</v>
      </c>
      <c r="N20" s="19">
        <f>G20*1.35</f>
        <v>90000.000000000015</v>
      </c>
    </row>
    <row r="21" spans="1:14" ht="16.5" customHeight="1" x14ac:dyDescent="0.25">
      <c r="A21" s="5">
        <v>4</v>
      </c>
      <c r="B21" s="77" t="s">
        <v>132</v>
      </c>
      <c r="C21" s="77"/>
      <c r="D21" s="77"/>
      <c r="E21" s="77"/>
      <c r="F21" s="77"/>
      <c r="G21" s="19">
        <f>('flock projection'!G28+'flock projection'!G29)*'tep '!$H$34*365*('tep '!$H$36/1000)</f>
        <v>0</v>
      </c>
      <c r="H21" s="19">
        <f>1.05*('flock projection'!H28+'flock projection'!H29)*'tep '!$H$34*365*('tep '!$H$36/1000)</f>
        <v>0</v>
      </c>
      <c r="I21" s="19">
        <f>1.1*('flock projection'!I28+'flock projection'!I29)*'tep '!$H$34*365*('tep '!$H$36/1000)</f>
        <v>0</v>
      </c>
      <c r="J21" s="19">
        <f>1.15*('flock projection'!J28+'flock projection'!J29)*'tep '!$H$34*365*('tep '!$H$36/1000)</f>
        <v>0</v>
      </c>
      <c r="K21" s="19">
        <f>1.2*('flock projection'!K28+'flock projection'!K29)*'tep '!$H$34*365*('tep '!$H$36/1000)</f>
        <v>0</v>
      </c>
      <c r="L21" s="19">
        <f>1.25*('flock projection'!L28+'flock projection'!L29)*'tep '!$H$34*365*('tep '!$H$36/1000)</f>
        <v>0</v>
      </c>
      <c r="M21" s="19">
        <f>1.3*('flock projection'!M28+'flock projection'!M29)*'tep '!$H$34*365*('tep '!$H$36/1000)</f>
        <v>0</v>
      </c>
      <c r="N21" s="19">
        <f>1.35*('flock projection'!N28+'flock projection'!N29)*'tep '!$H$34*365*('tep '!$H$36/1000)</f>
        <v>0</v>
      </c>
    </row>
    <row r="22" spans="1:14" ht="16.5" customHeight="1" x14ac:dyDescent="0.25">
      <c r="A22" s="5">
        <v>5</v>
      </c>
      <c r="B22" s="77" t="s">
        <v>133</v>
      </c>
      <c r="C22" s="77"/>
      <c r="D22" s="77"/>
      <c r="E22" s="77"/>
      <c r="F22" s="77"/>
      <c r="G22" s="19">
        <f>('flock projection'!G33+'flock projection'!G32+'flock projection'!G31+'flock projection'!G30)*'tep '!$H$35*365*('tep '!$H$36/1000)</f>
        <v>0</v>
      </c>
      <c r="H22" s="19">
        <f>1.05*('flock projection'!H33+'flock projection'!H32+'flock projection'!H31+'flock projection'!H30)*'tep '!$H$35*365*('tep '!$H$36/1000)</f>
        <v>0</v>
      </c>
      <c r="I22" s="19">
        <f>1.1*('flock projection'!I33+'flock projection'!I32+'flock projection'!I31+'flock projection'!I30)*'tep '!$H$35*365*('tep '!$H$36/1000)</f>
        <v>0</v>
      </c>
      <c r="J22" s="19">
        <f>1.15*('flock projection'!J33+'flock projection'!J32+'flock projection'!J31+'flock projection'!J30)*'tep '!$H$35*365*('tep '!$H$36/1000)</f>
        <v>0</v>
      </c>
      <c r="K22" s="19">
        <f>1.2*('flock projection'!K33+'flock projection'!K32+'flock projection'!K31+'flock projection'!K30)*'tep '!$H$35*365*('tep '!$H$36/1000)</f>
        <v>0</v>
      </c>
      <c r="L22" s="19">
        <f>1.25*('flock projection'!L33+'flock projection'!L32+'flock projection'!L31+'flock projection'!L30)*'tep '!$H$35*365*('tep '!$H$36/1000)</f>
        <v>0</v>
      </c>
      <c r="M22" s="19">
        <f>1.3*('flock projection'!M33+'flock projection'!M32+'flock projection'!M31+'flock projection'!M30)*'tep '!$H$35*365*('tep '!$H$36/1000)</f>
        <v>0</v>
      </c>
      <c r="N22" s="19">
        <f>1.35*('flock projection'!N33+'flock projection'!N32+'flock projection'!N31+'flock projection'!N30)*'tep '!$H$35*365*('tep '!$H$36/1000)</f>
        <v>0</v>
      </c>
    </row>
    <row r="23" spans="1:14" ht="16.5" customHeight="1" x14ac:dyDescent="0.25">
      <c r="A23" s="5">
        <v>6</v>
      </c>
      <c r="B23" s="77" t="s">
        <v>135</v>
      </c>
      <c r="C23" s="77"/>
      <c r="D23" s="77"/>
      <c r="E23" s="77"/>
      <c r="F23" s="77"/>
      <c r="G23" s="19">
        <f>expenditure!H26</f>
        <v>144000</v>
      </c>
      <c r="H23" s="19">
        <f>G23*1.05</f>
        <v>151200</v>
      </c>
      <c r="I23" s="19">
        <f>H23*1.1</f>
        <v>166320</v>
      </c>
      <c r="J23" s="19">
        <f>I23*1.15</f>
        <v>191267.99999999997</v>
      </c>
      <c r="K23" s="19">
        <f>J23*1.2</f>
        <v>229521.59999999995</v>
      </c>
      <c r="L23" s="19">
        <f>K23*1.25</f>
        <v>286901.99999999994</v>
      </c>
      <c r="M23" s="19">
        <f>G23*1.3</f>
        <v>187200</v>
      </c>
      <c r="N23" s="19">
        <f>G23*1.35</f>
        <v>194400</v>
      </c>
    </row>
    <row r="24" spans="1:14" ht="16.5" customHeight="1" x14ac:dyDescent="0.25">
      <c r="A24" s="5">
        <v>7</v>
      </c>
      <c r="B24" s="77" t="s">
        <v>72</v>
      </c>
      <c r="C24" s="77"/>
      <c r="D24" s="77"/>
      <c r="E24" s="77"/>
      <c r="F24" s="77"/>
      <c r="G24" s="19">
        <f>('flock projection'!G34*expenditure!$H$2)</f>
        <v>5250</v>
      </c>
      <c r="H24" s="19">
        <f>('flock projection'!H34*expenditure!$H$2)*1.05</f>
        <v>5512.5</v>
      </c>
      <c r="I24" s="19">
        <f>('flock projection'!I34*expenditure!$H$2)*1.1</f>
        <v>5775.0000000000009</v>
      </c>
      <c r="J24" s="19">
        <f>('flock projection'!J34*expenditure!$H$2)*1.15</f>
        <v>6037.4999999999991</v>
      </c>
      <c r="K24" s="19">
        <f>('flock projection'!K34*expenditure!$H$2)*1.2</f>
        <v>6300</v>
      </c>
      <c r="L24" s="19">
        <f>('flock projection'!L34*expenditure!$H$2)*1.25</f>
        <v>6562.5</v>
      </c>
      <c r="M24" s="19">
        <f>('flock projection'!M34*expenditure!$H$2)*1.3</f>
        <v>6825</v>
      </c>
      <c r="N24" s="19">
        <f>('flock projection'!N34*expenditure!$H$2)*1.35</f>
        <v>7087.5000000000009</v>
      </c>
    </row>
    <row r="25" spans="1:14" ht="16.5" customHeight="1" x14ac:dyDescent="0.25">
      <c r="A25" s="5">
        <v>8</v>
      </c>
      <c r="B25" s="88" t="s">
        <v>73</v>
      </c>
      <c r="C25" s="99"/>
      <c r="D25" s="99"/>
      <c r="E25" s="99"/>
      <c r="F25" s="100"/>
      <c r="G25" s="19">
        <f>('flock projection'!G34*'tep '!$H$42)</f>
        <v>5250</v>
      </c>
      <c r="H25" s="19">
        <f>('flock projection'!H34*'tep '!$H$42)*1.05</f>
        <v>5512.5</v>
      </c>
      <c r="I25" s="19">
        <f>('flock projection'!I34*'tep '!$H$42)*1.1</f>
        <v>5775.0000000000009</v>
      </c>
      <c r="J25" s="19">
        <f>('flock projection'!J34*'tep '!$H$42)*1.15</f>
        <v>6037.4999999999991</v>
      </c>
      <c r="K25" s="19">
        <f>('flock projection'!K34*'tep '!$H$42)*1.2</f>
        <v>6300</v>
      </c>
      <c r="L25" s="19">
        <f>('flock projection'!L34*'tep '!$H$42)*1.25</f>
        <v>6562.5</v>
      </c>
      <c r="M25" s="19">
        <f>('flock projection'!M34*'tep '!$H$42)*1.3</f>
        <v>6825</v>
      </c>
      <c r="N25" s="19">
        <f>('flock projection'!N34*'tep '!$H$42)*1.35</f>
        <v>7087.5000000000009</v>
      </c>
    </row>
    <row r="26" spans="1:14" ht="16.5" customHeight="1" x14ac:dyDescent="0.25">
      <c r="A26" s="5">
        <v>9</v>
      </c>
      <c r="B26" s="77" t="s">
        <v>134</v>
      </c>
      <c r="C26" s="77"/>
      <c r="D26" s="77"/>
      <c r="E26" s="77"/>
      <c r="F26" s="77"/>
      <c r="G26" s="19">
        <f>('flock projection'!G34*expenditure!$H$1)</f>
        <v>21000</v>
      </c>
      <c r="H26" s="19">
        <f>('flock projection'!H34*expenditure!$H$1)*1.05</f>
        <v>22050</v>
      </c>
      <c r="I26" s="19">
        <f>('flock projection'!I34*expenditure!$H$1)*1.1</f>
        <v>23100.000000000004</v>
      </c>
      <c r="J26" s="19">
        <f>('flock projection'!J34*expenditure!$H$1)*1.15</f>
        <v>24149.999999999996</v>
      </c>
      <c r="K26" s="19">
        <f>('flock projection'!K34*expenditure!$H$1)*1.2</f>
        <v>25200</v>
      </c>
      <c r="L26" s="19">
        <f>('flock projection'!L34*expenditure!$H$1)*1.25</f>
        <v>26250</v>
      </c>
      <c r="M26" s="19">
        <f>('flock projection'!M34*expenditure!$H$1)*1.3</f>
        <v>27300</v>
      </c>
      <c r="N26" s="19">
        <f>('flock projection'!N34*expenditure!$H$1)*1.35</f>
        <v>28350.000000000004</v>
      </c>
    </row>
    <row r="27" spans="1:14" ht="16.5" customHeight="1" x14ac:dyDescent="0.25">
      <c r="A27" s="5">
        <v>10</v>
      </c>
      <c r="B27" s="77" t="s">
        <v>74</v>
      </c>
      <c r="C27" s="77"/>
      <c r="D27" s="77"/>
      <c r="E27" s="77"/>
      <c r="F27" s="77"/>
      <c r="G27" s="19">
        <f>expenditure!H30</f>
        <v>46800</v>
      </c>
      <c r="H27" s="19">
        <f>G27*1.05</f>
        <v>49140</v>
      </c>
      <c r="I27" s="19">
        <f>G27*1.1</f>
        <v>51480.000000000007</v>
      </c>
      <c r="J27" s="19">
        <f>G27*1.15</f>
        <v>53819.999999999993</v>
      </c>
      <c r="K27" s="19">
        <f>G27*1.2</f>
        <v>56160</v>
      </c>
      <c r="L27" s="19">
        <f>G27*1.25</f>
        <v>58500</v>
      </c>
      <c r="M27" s="19">
        <f>G27*1.3</f>
        <v>60840</v>
      </c>
      <c r="N27" s="19">
        <f>G27*1.35</f>
        <v>63180.000000000007</v>
      </c>
    </row>
    <row r="28" spans="1:14" ht="16.5" customHeight="1" x14ac:dyDescent="0.25">
      <c r="A28" s="5">
        <v>11</v>
      </c>
      <c r="B28" s="77" t="s">
        <v>136</v>
      </c>
      <c r="C28" s="77"/>
      <c r="D28" s="77"/>
      <c r="E28" s="77"/>
      <c r="F28" s="77"/>
      <c r="G28" s="19">
        <f>('flock projection'!G34*expenditure!$H$3)</f>
        <v>5250</v>
      </c>
      <c r="H28" s="19">
        <f>('flock projection'!H34*expenditure!$H$3)*1.05</f>
        <v>5512.5</v>
      </c>
      <c r="I28" s="19">
        <f>('flock projection'!I34*expenditure!$H$3)*1.1</f>
        <v>5775.0000000000009</v>
      </c>
      <c r="J28" s="19">
        <f>('flock projection'!J34*expenditure!$H$3)*1.15</f>
        <v>6037.4999999999991</v>
      </c>
      <c r="K28" s="19">
        <f>('flock projection'!K34*expenditure!$H$3)*1.2</f>
        <v>6300</v>
      </c>
      <c r="L28" s="19">
        <f>('flock projection'!L34*expenditure!$H$3)*1.25</f>
        <v>6562.5</v>
      </c>
      <c r="M28" s="19">
        <f>('flock projection'!M34*expenditure!$H$3)*1.3</f>
        <v>6825</v>
      </c>
      <c r="N28" s="19">
        <f>('flock projection'!N34*expenditure!$H$3)*1.35</f>
        <v>7087.5000000000009</v>
      </c>
    </row>
    <row r="29" spans="1:14" ht="16.5" customHeight="1" x14ac:dyDescent="0.25">
      <c r="A29" s="5">
        <v>12</v>
      </c>
      <c r="B29" s="88" t="s">
        <v>142</v>
      </c>
      <c r="C29" s="99"/>
      <c r="D29" s="99"/>
      <c r="E29" s="99"/>
      <c r="F29" s="100"/>
      <c r="G29" s="19">
        <f>expenditure!H32</f>
        <v>55000</v>
      </c>
      <c r="H29" s="19">
        <f>$G$29*1.05</f>
        <v>57750</v>
      </c>
      <c r="I29" s="19">
        <f>$G$29*1.1</f>
        <v>60500.000000000007</v>
      </c>
      <c r="J29" s="19">
        <f>$G$29*1.15</f>
        <v>63249.999999999993</v>
      </c>
      <c r="K29" s="19">
        <f>$G$29*1.2</f>
        <v>66000</v>
      </c>
      <c r="L29" s="19">
        <f>$G$29*1.25</f>
        <v>68750</v>
      </c>
      <c r="M29" s="19">
        <f>$G$29*1.3</f>
        <v>71500</v>
      </c>
      <c r="N29" s="19">
        <f>$G$29*1.35</f>
        <v>74250</v>
      </c>
    </row>
    <row r="30" spans="1:14" ht="16.5" customHeight="1" x14ac:dyDescent="0.25">
      <c r="A30" s="5">
        <v>13</v>
      </c>
      <c r="B30" s="88" t="s">
        <v>143</v>
      </c>
      <c r="C30" s="99"/>
      <c r="D30" s="99"/>
      <c r="E30" s="99"/>
      <c r="F30" s="100"/>
      <c r="G30" s="19">
        <f>('flock projection'!G30+'flock projection'!G31+'flock projection'!G32+'flock projection'!G33)*'tep '!$H$18*'tep '!$H$20*'tep '!$H$40</f>
        <v>0</v>
      </c>
      <c r="H30" s="19">
        <f>1.05*('flock projection'!H30+'flock projection'!H31+'flock projection'!H32+'flock projection'!H33)*'tep '!$H$18*'tep '!$H$20*'tep '!$H$40</f>
        <v>0</v>
      </c>
      <c r="I30" s="19">
        <f>1.1*('flock projection'!I30+'flock projection'!I31+'flock projection'!I32+'flock projection'!I33)*'tep '!$H$18*'tep '!$H$20*'tep '!$H$40</f>
        <v>0</v>
      </c>
      <c r="J30" s="19">
        <f>1.15*('flock projection'!J30+'flock projection'!J31+'flock projection'!J32+'flock projection'!J33)*'tep '!$H$18*'tep '!$H$20*'tep '!$H$40</f>
        <v>0</v>
      </c>
      <c r="K30" s="19">
        <f>1.2*('flock projection'!K30+'flock projection'!K31+'flock projection'!K32+'flock projection'!K33)*'tep '!$H$18*'tep '!$H$20*'tep '!$H$40</f>
        <v>0</v>
      </c>
      <c r="L30" s="19">
        <f>1.25*('flock projection'!L30+'flock projection'!L31+'flock projection'!L32+'flock projection'!L33)*'tep '!$H$18*'tep '!$H$20*'tep '!$H$40</f>
        <v>0</v>
      </c>
      <c r="M30" s="19">
        <f>1.3*('flock projection'!M30+'flock projection'!M31+'flock projection'!M32+'flock projection'!M33)*'tep '!$H$18*'tep '!$H$20*'tep '!$H$40</f>
        <v>0</v>
      </c>
      <c r="N30" s="19">
        <f>1.35*('flock projection'!N30+'flock projection'!N31+'flock projection'!N32+'flock projection'!N33)*'tep '!$H$18*'tep '!$H$20*'tep '!$H$40</f>
        <v>0</v>
      </c>
    </row>
    <row r="31" spans="1:14" ht="16.5" customHeight="1" x14ac:dyDescent="0.25">
      <c r="A31" s="5">
        <v>14</v>
      </c>
      <c r="B31" s="77" t="s">
        <v>140</v>
      </c>
      <c r="C31" s="77"/>
      <c r="D31" s="77"/>
      <c r="E31" s="77"/>
      <c r="F31" s="77"/>
      <c r="G31" s="19">
        <f>expenditure!$H$15*10%</f>
        <v>73000</v>
      </c>
      <c r="H31" s="19">
        <f>0.9*expenditure!$H$15*10%</f>
        <v>65700</v>
      </c>
      <c r="I31" s="19">
        <f>0.8*expenditure!$H$15*10%</f>
        <v>58400</v>
      </c>
      <c r="J31" s="19">
        <f>0.7*expenditure!$H$15*10%</f>
        <v>51100</v>
      </c>
      <c r="K31" s="19">
        <f>0.6*expenditure!$H$15*10%</f>
        <v>43800</v>
      </c>
      <c r="L31" s="19">
        <f>0.5*expenditure!$H$15*10%</f>
        <v>36500</v>
      </c>
      <c r="M31" s="19">
        <f>0.4*expenditure!$H$15*10%</f>
        <v>29200</v>
      </c>
      <c r="N31" s="19">
        <f>0.3*expenditure!$H$15*10%</f>
        <v>21900</v>
      </c>
    </row>
    <row r="32" spans="1:14" ht="16.5" customHeight="1" x14ac:dyDescent="0.25">
      <c r="A32" s="5">
        <v>15</v>
      </c>
      <c r="B32" s="77" t="s">
        <v>141</v>
      </c>
      <c r="C32" s="77"/>
      <c r="D32" s="77"/>
      <c r="E32" s="77"/>
      <c r="F32" s="77"/>
      <c r="G32" s="19">
        <f>(expenditure!$H$16+expenditure!$H$17)*15%</f>
        <v>6075</v>
      </c>
      <c r="H32" s="19">
        <f>0.85*(expenditure!$H$16+expenditure!$H$17)*15%</f>
        <v>5163.75</v>
      </c>
      <c r="I32" s="19">
        <f>0.7*(expenditure!$H$16+expenditure!$H$17)*15%</f>
        <v>4252.5</v>
      </c>
      <c r="J32" s="19">
        <f>0.55*(expenditure!$H$16+expenditure!$H$17)*15%</f>
        <v>3341.25</v>
      </c>
      <c r="K32" s="19">
        <f>0.4*(expenditure!$H$16+expenditure!$H$17)*15%</f>
        <v>2430</v>
      </c>
      <c r="L32" s="19">
        <f>0.25*(expenditure!$H$16+expenditure!$H$17)*15%</f>
        <v>1518.75</v>
      </c>
      <c r="M32" s="19">
        <f>0.1*(expenditure!$H$16+expenditure!$H$17)*15%</f>
        <v>607.5</v>
      </c>
      <c r="N32" s="19">
        <v>0</v>
      </c>
    </row>
    <row r="33" spans="1:14" ht="16.5" customHeight="1" x14ac:dyDescent="0.25">
      <c r="A33" s="4"/>
      <c r="B33" s="93" t="s">
        <v>193</v>
      </c>
      <c r="C33" s="93"/>
      <c r="D33" s="93"/>
      <c r="E33" s="93"/>
      <c r="F33" s="93"/>
      <c r="G33" s="27">
        <f>SUM(G18:G32)</f>
        <v>547541.66666666674</v>
      </c>
      <c r="H33" s="27">
        <f t="shared" ref="H33:N33" si="1">SUM(H18:H32)</f>
        <v>562753.75</v>
      </c>
      <c r="I33" s="27">
        <f t="shared" si="1"/>
        <v>585885.83333333337</v>
      </c>
      <c r="J33" s="27">
        <f t="shared" si="1"/>
        <v>618845.91666666663</v>
      </c>
      <c r="K33" s="27">
        <f t="shared" si="1"/>
        <v>665111.6</v>
      </c>
      <c r="L33" s="54">
        <f t="shared" si="1"/>
        <v>730504.08333333326</v>
      </c>
      <c r="M33" s="27">
        <f t="shared" si="1"/>
        <v>638814.16666666674</v>
      </c>
      <c r="N33" s="27">
        <f t="shared" si="1"/>
        <v>654330</v>
      </c>
    </row>
    <row r="34" spans="1:14" ht="6.75" customHeight="1" x14ac:dyDescent="0.25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</row>
    <row r="35" spans="1:14" ht="16.5" customHeight="1" x14ac:dyDescent="0.25">
      <c r="A35" s="4"/>
      <c r="B35" s="93" t="s">
        <v>144</v>
      </c>
      <c r="C35" s="93"/>
      <c r="D35" s="93"/>
      <c r="E35" s="93"/>
      <c r="F35" s="93"/>
      <c r="G35" s="56">
        <f>(G15-G33)</f>
        <v>1125717.0833333333</v>
      </c>
      <c r="H35" s="56">
        <f t="shared" ref="H35:N35" si="2">(H15-H33)</f>
        <v>1221667.9375</v>
      </c>
      <c r="I35" s="56">
        <f t="shared" si="2"/>
        <v>1277698.7916666665</v>
      </c>
      <c r="J35" s="56">
        <f t="shared" si="2"/>
        <v>1323901.6458333335</v>
      </c>
      <c r="K35" s="56">
        <f t="shared" si="2"/>
        <v>1356798.9</v>
      </c>
      <c r="L35" s="56">
        <f t="shared" si="2"/>
        <v>1370569.3541666667</v>
      </c>
      <c r="M35" s="56">
        <f t="shared" si="2"/>
        <v>1541422.2083333333</v>
      </c>
      <c r="N35" s="56">
        <f t="shared" si="2"/>
        <v>4172580.5625</v>
      </c>
    </row>
    <row r="36" spans="1:14" ht="16.5" customHeight="1" x14ac:dyDescent="0.25">
      <c r="A36" s="4"/>
      <c r="B36" s="93" t="s">
        <v>145</v>
      </c>
      <c r="C36" s="93"/>
      <c r="D36" s="93"/>
      <c r="E36" s="93"/>
      <c r="F36" s="93"/>
      <c r="G36" s="28">
        <f>(G35/12)</f>
        <v>93809.756944444438</v>
      </c>
      <c r="H36" s="28">
        <f t="shared" ref="H36:N36" si="3">(H35/12)</f>
        <v>101805.66145833333</v>
      </c>
      <c r="I36" s="28">
        <f t="shared" si="3"/>
        <v>106474.89930555555</v>
      </c>
      <c r="J36" s="28">
        <f t="shared" si="3"/>
        <v>110325.1371527778</v>
      </c>
      <c r="K36" s="28">
        <f t="shared" si="3"/>
        <v>113066.575</v>
      </c>
      <c r="L36" s="28">
        <f t="shared" si="3"/>
        <v>114214.11284722223</v>
      </c>
      <c r="M36" s="28">
        <f t="shared" si="3"/>
        <v>128451.85069444444</v>
      </c>
      <c r="N36" s="28">
        <f t="shared" si="3"/>
        <v>347715.046875</v>
      </c>
    </row>
  </sheetData>
  <mergeCells count="36">
    <mergeCell ref="B35:F35"/>
    <mergeCell ref="B36:F36"/>
    <mergeCell ref="A34:N34"/>
    <mergeCell ref="B28:F28"/>
    <mergeCell ref="B33:F33"/>
    <mergeCell ref="B2:F2"/>
    <mergeCell ref="B1:F1"/>
    <mergeCell ref="B31:F31"/>
    <mergeCell ref="B32:F32"/>
    <mergeCell ref="B16:N16"/>
    <mergeCell ref="B25:F25"/>
    <mergeCell ref="B29:F29"/>
    <mergeCell ref="B23:F23"/>
    <mergeCell ref="B24:F24"/>
    <mergeCell ref="B26:F26"/>
    <mergeCell ref="B27:F27"/>
    <mergeCell ref="B15:F15"/>
    <mergeCell ref="B18:F18"/>
    <mergeCell ref="B19:F19"/>
    <mergeCell ref="B20:F20"/>
    <mergeCell ref="B30:F30"/>
    <mergeCell ref="B21:F21"/>
    <mergeCell ref="B22:F22"/>
    <mergeCell ref="B3:F3"/>
    <mergeCell ref="B5:F5"/>
    <mergeCell ref="B7:F7"/>
    <mergeCell ref="B8:F8"/>
    <mergeCell ref="B11:F11"/>
    <mergeCell ref="B9:F9"/>
    <mergeCell ref="B10:F10"/>
    <mergeCell ref="B17:F17"/>
    <mergeCell ref="B12:F12"/>
    <mergeCell ref="B13:F13"/>
    <mergeCell ref="B4:F4"/>
    <mergeCell ref="B6:F6"/>
    <mergeCell ref="B14:F14"/>
  </mergeCells>
  <pageMargins left="0.7" right="0.7" top="0.75" bottom="0.5699999999999999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abSelected="1" topLeftCell="A10" zoomScale="90" zoomScaleNormal="90" workbookViewId="0">
      <selection activeCell="N28" sqref="N28"/>
    </sheetView>
  </sheetViews>
  <sheetFormatPr defaultRowHeight="20.25" customHeight="1" x14ac:dyDescent="0.25"/>
  <cols>
    <col min="1" max="1" width="3.42578125" customWidth="1"/>
    <col min="2" max="2" width="9.28515625" customWidth="1"/>
    <col min="3" max="3" width="13.28515625" customWidth="1"/>
    <col min="4" max="4" width="12.28515625" customWidth="1"/>
    <col min="5" max="5" width="12.5703125" customWidth="1"/>
    <col min="6" max="6" width="12.28515625" customWidth="1"/>
    <col min="7" max="7" width="12" customWidth="1"/>
    <col min="8" max="8" width="15.140625" customWidth="1"/>
    <col min="9" max="9" width="12.5703125" customWidth="1"/>
    <col min="10" max="10" width="14" customWidth="1"/>
    <col min="11" max="11" width="12.7109375" customWidth="1"/>
    <col min="14" max="14" width="19.5703125" bestFit="1" customWidth="1"/>
  </cols>
  <sheetData>
    <row r="1" spans="2:13" ht="20.25" customHeight="1" x14ac:dyDescent="0.25">
      <c r="B1" s="78" t="s">
        <v>146</v>
      </c>
      <c r="C1" s="78"/>
      <c r="D1" s="78"/>
      <c r="E1" s="78"/>
    </row>
    <row r="2" spans="2:13" ht="7.5" customHeight="1" x14ac:dyDescent="0.25"/>
    <row r="3" spans="2:13" ht="31.5" customHeight="1" x14ac:dyDescent="0.25">
      <c r="B3" s="31" t="s">
        <v>147</v>
      </c>
      <c r="C3" s="36" t="s">
        <v>148</v>
      </c>
      <c r="D3" s="32" t="s">
        <v>178</v>
      </c>
      <c r="E3" s="32" t="s">
        <v>149</v>
      </c>
      <c r="F3" s="32" t="s">
        <v>150</v>
      </c>
      <c r="G3" s="32" t="s">
        <v>151</v>
      </c>
      <c r="H3" s="36" t="s">
        <v>152</v>
      </c>
      <c r="I3" s="29"/>
    </row>
    <row r="4" spans="2:13" ht="20.25" customHeight="1" x14ac:dyDescent="0.25">
      <c r="B4" s="16" t="s">
        <v>153</v>
      </c>
      <c r="C4" s="26">
        <f>'cash flow'!G35</f>
        <v>1125717.0833333333</v>
      </c>
      <c r="D4" s="26">
        <v>0</v>
      </c>
      <c r="E4" s="26">
        <f>(overview!F24/overview!F27)</f>
        <v>306799.28571428574</v>
      </c>
      <c r="F4" s="26">
        <f>SUM(E4:E11)*overview!$F$26</f>
        <v>257711.4</v>
      </c>
      <c r="G4" s="26">
        <f>SUM(E4,F4)</f>
        <v>564510.6857142857</v>
      </c>
      <c r="H4" s="33">
        <f>(C4-G4)</f>
        <v>561206.39761904755</v>
      </c>
    </row>
    <row r="5" spans="2:13" ht="20.25" customHeight="1" x14ac:dyDescent="0.25">
      <c r="B5" s="16" t="s">
        <v>154</v>
      </c>
      <c r="C5" s="26">
        <f>'cash flow'!H35</f>
        <v>1221667.9375</v>
      </c>
      <c r="D5" s="26">
        <v>0</v>
      </c>
      <c r="E5" s="26">
        <f>E4</f>
        <v>306799.28571428574</v>
      </c>
      <c r="F5" s="26">
        <f>SUM(E5:E11)*overview!$F$26</f>
        <v>220895.48571428572</v>
      </c>
      <c r="G5" s="26">
        <f t="shared" ref="G5:G11" si="0">SUM(E5,F5)</f>
        <v>527694.77142857143</v>
      </c>
      <c r="H5" s="33">
        <f t="shared" ref="H5:H11" si="1">(C5-G5)</f>
        <v>693973.16607142857</v>
      </c>
    </row>
    <row r="6" spans="2:13" ht="20.25" customHeight="1" x14ac:dyDescent="0.25">
      <c r="B6" s="16" t="s">
        <v>155</v>
      </c>
      <c r="C6" s="26">
        <f>'cash flow'!I35</f>
        <v>1277698.7916666665</v>
      </c>
      <c r="D6" s="26">
        <v>0</v>
      </c>
      <c r="E6" s="26">
        <f t="shared" ref="E6:E10" si="2">E5</f>
        <v>306799.28571428574</v>
      </c>
      <c r="F6" s="26">
        <f>SUM(E6:E11)*overview!$F$26</f>
        <v>184079.57142857142</v>
      </c>
      <c r="G6" s="26">
        <f t="shared" si="0"/>
        <v>490878.85714285716</v>
      </c>
      <c r="H6" s="33">
        <f t="shared" si="1"/>
        <v>786819.93452380935</v>
      </c>
    </row>
    <row r="7" spans="2:13" ht="20.25" customHeight="1" x14ac:dyDescent="0.25">
      <c r="B7" s="16" t="s">
        <v>156</v>
      </c>
      <c r="C7" s="26">
        <f>'cash flow'!J35</f>
        <v>1323901.6458333335</v>
      </c>
      <c r="D7" s="26">
        <f>overview!F30</f>
        <v>0</v>
      </c>
      <c r="E7" s="26">
        <f t="shared" si="2"/>
        <v>306799.28571428574</v>
      </c>
      <c r="F7" s="26">
        <f>SUM(E7:E11)*overview!$F$26</f>
        <v>147263.65714285715</v>
      </c>
      <c r="G7" s="26">
        <f t="shared" si="0"/>
        <v>454062.94285714289</v>
      </c>
      <c r="H7" s="33">
        <f t="shared" si="1"/>
        <v>869838.7029761906</v>
      </c>
    </row>
    <row r="8" spans="2:13" ht="20.25" customHeight="1" x14ac:dyDescent="0.25">
      <c r="B8" s="16" t="s">
        <v>157</v>
      </c>
      <c r="C8" s="26">
        <f>'cash flow'!K35</f>
        <v>1356798.9</v>
      </c>
      <c r="D8" s="45">
        <f>overview!F24-'repayment schedule'!E4-'repayment schedule'!E5-'repayment schedule'!E6-'repayment schedule'!D7</f>
        <v>1227197.142857143</v>
      </c>
      <c r="E8" s="26">
        <f t="shared" si="2"/>
        <v>306799.28571428574</v>
      </c>
      <c r="F8" s="26">
        <f>SUM(E8:E11)*overview!$F$26</f>
        <v>110447.74285714288</v>
      </c>
      <c r="G8" s="26">
        <f t="shared" si="0"/>
        <v>417247.02857142861</v>
      </c>
      <c r="H8" s="33">
        <f t="shared" si="1"/>
        <v>939551.87142857129</v>
      </c>
    </row>
    <row r="9" spans="2:13" ht="20.25" customHeight="1" x14ac:dyDescent="0.25">
      <c r="B9" s="16" t="s">
        <v>158</v>
      </c>
      <c r="C9" s="26">
        <f>'cash flow'!L35</f>
        <v>1370569.3541666667</v>
      </c>
      <c r="D9" s="45">
        <f>D8-E7</f>
        <v>920397.85714285728</v>
      </c>
      <c r="E9" s="26">
        <f t="shared" si="2"/>
        <v>306799.28571428574</v>
      </c>
      <c r="F9" s="26">
        <f>SUM(E9:E11)*overview!$F$26</f>
        <v>73631.828571428574</v>
      </c>
      <c r="G9" s="26">
        <f t="shared" si="0"/>
        <v>380431.11428571434</v>
      </c>
      <c r="H9" s="33">
        <f t="shared" si="1"/>
        <v>990138.2398809524</v>
      </c>
    </row>
    <row r="10" spans="2:13" ht="20.25" customHeight="1" x14ac:dyDescent="0.25">
      <c r="B10" s="16" t="s">
        <v>159</v>
      </c>
      <c r="C10" s="26">
        <f>'cash flow'!M35</f>
        <v>1541422.2083333333</v>
      </c>
      <c r="D10" s="26"/>
      <c r="E10" s="26">
        <f t="shared" si="2"/>
        <v>306799.28571428574</v>
      </c>
      <c r="F10" s="26">
        <f>SUM(E10:E11)*overview!$F$26</f>
        <v>36815.914285714287</v>
      </c>
      <c r="G10" s="26">
        <f t="shared" si="0"/>
        <v>343615.2</v>
      </c>
      <c r="H10" s="58">
        <f t="shared" si="1"/>
        <v>1197807.0083333333</v>
      </c>
    </row>
    <row r="11" spans="2:13" ht="20.25" customHeight="1" x14ac:dyDescent="0.25">
      <c r="B11" s="16" t="s">
        <v>160</v>
      </c>
      <c r="C11" s="26">
        <f>'cash flow'!N35</f>
        <v>4172580.5625</v>
      </c>
      <c r="D11" s="26"/>
      <c r="E11" s="5">
        <v>0</v>
      </c>
      <c r="F11" s="26">
        <f>SUM(E11:E11)*overview!$F$26</f>
        <v>0</v>
      </c>
      <c r="G11" s="26">
        <f t="shared" si="0"/>
        <v>0</v>
      </c>
      <c r="H11" s="58">
        <f t="shared" si="1"/>
        <v>4172580.5625</v>
      </c>
    </row>
    <row r="12" spans="2:13" ht="12" customHeight="1" x14ac:dyDescent="0.25"/>
    <row r="13" spans="2:13" ht="29.25" customHeight="1" x14ac:dyDescent="0.25">
      <c r="B13" s="47" t="s">
        <v>162</v>
      </c>
      <c r="C13" s="25" t="s">
        <v>116</v>
      </c>
      <c r="D13" s="25" t="s">
        <v>117</v>
      </c>
      <c r="E13" s="25" t="s">
        <v>139</v>
      </c>
      <c r="F13" s="25" t="s">
        <v>119</v>
      </c>
      <c r="G13" s="25" t="s">
        <v>120</v>
      </c>
      <c r="H13" s="25" t="s">
        <v>121</v>
      </c>
      <c r="I13" s="25" t="s">
        <v>122</v>
      </c>
      <c r="J13" s="25" t="s">
        <v>123</v>
      </c>
    </row>
    <row r="14" spans="2:13" ht="21.75" customHeight="1" x14ac:dyDescent="0.25">
      <c r="B14" s="48" t="s">
        <v>179</v>
      </c>
      <c r="C14" s="49">
        <f>'cash flow'!G15/(1+'repayment schedule'!$G19)^1</f>
        <v>1493981.0267857141</v>
      </c>
      <c r="D14" s="49">
        <f>'cash flow'!H15/(1+'repayment schedule'!$G19)^2</f>
        <v>1422530.0442442601</v>
      </c>
      <c r="E14" s="49">
        <f>'cash flow'!I15/(1+'repayment schedule'!$G19)^3</f>
        <v>1326462.7262037625</v>
      </c>
      <c r="F14" s="49">
        <f>'cash flow'!J15/(1+'repayment schedule'!$G19)^4</f>
        <v>1234651.1977456696</v>
      </c>
      <c r="G14" s="49">
        <f>'cash flow'!K15/(1+'repayment schedule'!$G19)^5</f>
        <v>1147286.3175594206</v>
      </c>
      <c r="H14" s="49">
        <f>'cash flow'!L15/(1+'repayment schedule'!$G19)^6</f>
        <v>1064469.1913165122</v>
      </c>
      <c r="I14" s="49">
        <f>'cash flow'!M15/(1+'repayment schedule'!$G19)^7</f>
        <v>986228.21348020295</v>
      </c>
      <c r="J14" s="49">
        <f>'cash flow'!N15/(1+'repayment schedule'!$G19)^8</f>
        <v>1949508.2191502124</v>
      </c>
      <c r="M14">
        <f>'cash flow'!G15/(1+'repayment schedule'!G19)</f>
        <v>1493981.0267857141</v>
      </c>
    </row>
    <row r="15" spans="2:13" ht="20.25" customHeight="1" x14ac:dyDescent="0.25">
      <c r="B15" s="40" t="s">
        <v>180</v>
      </c>
      <c r="C15" s="49">
        <f>'cash flow'!G33/(1+'repayment schedule'!$G19)^1</f>
        <v>488876.48809523811</v>
      </c>
      <c r="D15" s="49">
        <f>'cash flow'!H33/(1+'repayment schedule'!$G19)^2</f>
        <v>448623.84406887746</v>
      </c>
      <c r="E15" s="49">
        <f>'cash flow'!I33/(1+'repayment schedule'!$G19)^3</f>
        <v>417021.9636403668</v>
      </c>
      <c r="F15" s="49">
        <f>'cash flow'!J33/(1+'repayment schedule'!$G19)^4</f>
        <v>393287.76778867625</v>
      </c>
      <c r="G15" s="49">
        <f>'cash flow'!K33/(1+'repayment schedule'!$G19)^5</f>
        <v>377402.18388996669</v>
      </c>
      <c r="H15" s="49">
        <f>'cash flow'!L33/(1+'repayment schedule'!$G19)^6</f>
        <v>370096.10276377754</v>
      </c>
      <c r="I15" s="49">
        <f>'cash flow'!M33/(1+'repayment schedule'!$G19)^7</f>
        <v>288967.0870377582</v>
      </c>
      <c r="J15" s="49">
        <f>'cash flow'!N33/(1+'repayment schedule'!$G19)^8</f>
        <v>264272.91256374063</v>
      </c>
      <c r="M15">
        <f>'cash flow'!G33/(1+'repayment schedule'!G19)</f>
        <v>488876.48809523811</v>
      </c>
    </row>
    <row r="16" spans="2:13" ht="20.25" customHeight="1" x14ac:dyDescent="0.25">
      <c r="B16" s="78" t="s">
        <v>166</v>
      </c>
      <c r="C16" s="78"/>
      <c r="D16" s="39"/>
    </row>
    <row r="17" spans="2:14" ht="3.75" customHeight="1" x14ac:dyDescent="0.25"/>
    <row r="18" spans="2:14" ht="27.75" customHeight="1" x14ac:dyDescent="0.25">
      <c r="B18" s="23" t="s">
        <v>147</v>
      </c>
      <c r="C18" s="23" t="s">
        <v>161</v>
      </c>
      <c r="D18" s="36" t="s">
        <v>162</v>
      </c>
      <c r="E18" s="36" t="s">
        <v>165</v>
      </c>
      <c r="F18" s="103" t="s">
        <v>163</v>
      </c>
    </row>
    <row r="19" spans="2:14" ht="20.25" customHeight="1" x14ac:dyDescent="0.25">
      <c r="B19" s="16">
        <v>0</v>
      </c>
      <c r="C19" s="57">
        <f>-expenditure!H18</f>
        <v>-1870500</v>
      </c>
      <c r="D19" s="57">
        <f t="shared" ref="D19:D27" si="3">C19/(1+$G$19)^B19</f>
        <v>-1870500</v>
      </c>
      <c r="E19" s="4"/>
      <c r="F19" s="103"/>
      <c r="G19" s="17">
        <f>overview!F26</f>
        <v>0.12</v>
      </c>
      <c r="I19" s="16" t="s">
        <v>164</v>
      </c>
      <c r="J19" s="61">
        <f>SUM(D19:D27)</f>
        <v>3558473.5866373531</v>
      </c>
      <c r="K19" s="30">
        <f>C19+NPV(G19,C20:C27)</f>
        <v>3558473.5866373526</v>
      </c>
      <c r="L19" t="s">
        <v>223</v>
      </c>
      <c r="N19" s="52"/>
    </row>
    <row r="20" spans="2:14" ht="20.25" customHeight="1" x14ac:dyDescent="0.25">
      <c r="B20" s="16">
        <v>1</v>
      </c>
      <c r="C20" s="34">
        <f>H4</f>
        <v>561206.39761904755</v>
      </c>
      <c r="D20" s="34">
        <f t="shared" si="3"/>
        <v>501077.14073129243</v>
      </c>
      <c r="E20" s="64">
        <f>IRR(C19:C20,G19)</f>
        <v>-0.69996984890721858</v>
      </c>
      <c r="I20" s="16" t="s">
        <v>165</v>
      </c>
      <c r="J20" s="35">
        <f>IRR(C19:C27,(G19))</f>
        <v>0.41927777476163319</v>
      </c>
      <c r="K20" s="52">
        <f>IRR(C19:C26,G19)</f>
        <v>0.35598571576450611</v>
      </c>
      <c r="L20" t="s">
        <v>224</v>
      </c>
      <c r="N20" s="52"/>
    </row>
    <row r="21" spans="2:14" ht="20.25" customHeight="1" x14ac:dyDescent="0.25">
      <c r="B21" s="16">
        <v>2</v>
      </c>
      <c r="C21" s="34">
        <f t="shared" ref="C21:C27" si="4">H5</f>
        <v>693973.16607142857</v>
      </c>
      <c r="D21" s="34">
        <f t="shared" si="3"/>
        <v>553231.15917684033</v>
      </c>
      <c r="E21" s="64">
        <f>IRR(C19:C21,G19)</f>
        <v>-0.22267800797418513</v>
      </c>
      <c r="I21" s="16" t="s">
        <v>177</v>
      </c>
      <c r="J21" s="46">
        <f>SUM(C14:J14)/SUM(C15:J15)</f>
        <v>3.4853037305490395</v>
      </c>
      <c r="K21" s="52"/>
      <c r="L21" t="s">
        <v>225</v>
      </c>
      <c r="N21" s="43"/>
    </row>
    <row r="22" spans="2:14" ht="20.25" customHeight="1" x14ac:dyDescent="0.25">
      <c r="B22" s="16">
        <v>3</v>
      </c>
      <c r="C22" s="34">
        <f t="shared" si="4"/>
        <v>786819.93452380935</v>
      </c>
      <c r="D22" s="34">
        <f t="shared" si="3"/>
        <v>560042.88797988871</v>
      </c>
      <c r="E22" s="64">
        <f>IRR(C19:C22,G19)</f>
        <v>4.2722269887150999E-2</v>
      </c>
      <c r="I22" s="16" t="s">
        <v>204</v>
      </c>
      <c r="J22" s="4">
        <f>AVERAGE('cash flow'!G35:H35 )/AVERAGE('repayment schedule'!G4:G11)</f>
        <v>2.9541342013229164</v>
      </c>
      <c r="L22" t="s">
        <v>226</v>
      </c>
    </row>
    <row r="23" spans="2:14" ht="20.25" customHeight="1" x14ac:dyDescent="0.25">
      <c r="B23" s="16">
        <v>4</v>
      </c>
      <c r="C23" s="34">
        <f t="shared" si="4"/>
        <v>869838.7029761906</v>
      </c>
      <c r="D23" s="34">
        <f t="shared" si="3"/>
        <v>552798.22103757935</v>
      </c>
      <c r="E23" s="65">
        <f>IRR(C19:C23,G19)</f>
        <v>0.18788922706103972</v>
      </c>
      <c r="I23" s="16" t="s">
        <v>205</v>
      </c>
      <c r="J23" s="66">
        <f>SUM(G4:G11)/SUM('cash flow'!G35:N35)</f>
        <v>0.2373678851609464</v>
      </c>
      <c r="L23" t="s">
        <v>227</v>
      </c>
      <c r="N23" s="42"/>
    </row>
    <row r="24" spans="2:14" ht="20.25" customHeight="1" x14ac:dyDescent="0.25">
      <c r="B24" s="16">
        <v>5</v>
      </c>
      <c r="C24" s="34">
        <f t="shared" si="4"/>
        <v>939551.87142857129</v>
      </c>
      <c r="D24" s="34">
        <f t="shared" si="3"/>
        <v>533126.96418923978</v>
      </c>
      <c r="E24" s="64">
        <f>IRR(C19:C24,G19)</f>
        <v>0.27110452497836013</v>
      </c>
      <c r="I24" s="63" t="s">
        <v>206</v>
      </c>
      <c r="J24" s="4">
        <f>expenditure!H36/AVERAGE('cash flow'!G35:N35)</f>
        <v>1.5796890864203768</v>
      </c>
      <c r="N24" s="62"/>
    </row>
    <row r="25" spans="2:14" ht="20.25" customHeight="1" x14ac:dyDescent="0.25">
      <c r="B25" s="16">
        <v>6</v>
      </c>
      <c r="C25" s="34">
        <f t="shared" si="4"/>
        <v>990138.2398809524</v>
      </c>
      <c r="D25" s="34">
        <f t="shared" si="3"/>
        <v>501634.84659142583</v>
      </c>
      <c r="E25" s="65">
        <f>IRR(C19:C25,G19)</f>
        <v>0.3207392814435821</v>
      </c>
      <c r="I25" s="16" t="s">
        <v>207</v>
      </c>
      <c r="J25" s="67">
        <f>(SUM(H4:H11)/expenditure!H36)-1</f>
        <v>2.8621884338883476</v>
      </c>
      <c r="N25" s="62"/>
    </row>
    <row r="26" spans="2:14" ht="20.25" customHeight="1" x14ac:dyDescent="0.25">
      <c r="B26" s="16">
        <v>7</v>
      </c>
      <c r="C26" s="34">
        <f t="shared" si="4"/>
        <v>1197807.0083333333</v>
      </c>
      <c r="D26" s="34">
        <f t="shared" si="3"/>
        <v>541827.06034461514</v>
      </c>
      <c r="E26" s="64">
        <f>IRR(C19:C26,G19)</f>
        <v>0.35598571576450611</v>
      </c>
      <c r="I26" s="16" t="s">
        <v>208</v>
      </c>
      <c r="J26" s="73" t="s">
        <v>209</v>
      </c>
      <c r="N26" s="74"/>
    </row>
    <row r="27" spans="2:14" ht="20.25" customHeight="1" x14ac:dyDescent="0.25">
      <c r="B27" s="16">
        <v>8</v>
      </c>
      <c r="C27" s="57">
        <f t="shared" si="4"/>
        <v>4172580.5625</v>
      </c>
      <c r="D27" s="57">
        <f t="shared" si="3"/>
        <v>1685235.3065864719</v>
      </c>
      <c r="E27" s="64">
        <f>IRR(C19:C27,G19)</f>
        <v>0.41927777476163319</v>
      </c>
    </row>
    <row r="28" spans="2:14" ht="6" customHeight="1" x14ac:dyDescent="0.25"/>
    <row r="29" spans="2:14" ht="20.25" customHeight="1" x14ac:dyDescent="0.35">
      <c r="F29" s="59"/>
      <c r="G29" s="59"/>
      <c r="H29" s="1" t="s">
        <v>215</v>
      </c>
      <c r="I29" s="1"/>
      <c r="J29" s="1"/>
      <c r="K29" s="1"/>
      <c r="L29" s="59"/>
      <c r="M29" s="59"/>
    </row>
    <row r="30" spans="2:14" ht="20.25" customHeight="1" x14ac:dyDescent="0.35">
      <c r="C30" s="72" t="s">
        <v>210</v>
      </c>
      <c r="D30" s="69"/>
      <c r="E30" s="69"/>
      <c r="F30" s="70"/>
      <c r="G30" s="60"/>
      <c r="H30" s="1" t="s">
        <v>216</v>
      </c>
      <c r="I30" s="1"/>
      <c r="J30" s="1"/>
      <c r="K30" s="1"/>
      <c r="L30" s="60"/>
    </row>
    <row r="31" spans="2:14" ht="20.25" customHeight="1" x14ac:dyDescent="0.35">
      <c r="C31" s="69" t="s">
        <v>211</v>
      </c>
      <c r="D31" s="69"/>
      <c r="E31" s="69"/>
      <c r="F31" s="68">
        <f>SUM('cash flow'!N12)</f>
        <v>2200000</v>
      </c>
      <c r="G31" s="60"/>
      <c r="H31" s="1" t="s">
        <v>217</v>
      </c>
      <c r="I31" s="1"/>
      <c r="J31" s="1"/>
      <c r="K31" s="1"/>
      <c r="L31" s="60"/>
    </row>
    <row r="32" spans="2:14" ht="20.25" customHeight="1" x14ac:dyDescent="0.25">
      <c r="C32" s="69" t="s">
        <v>212</v>
      </c>
      <c r="D32" s="69"/>
      <c r="E32" s="69"/>
      <c r="F32" s="71">
        <f>'cash flow'!N13</f>
        <v>350400</v>
      </c>
      <c r="H32" s="1" t="s">
        <v>218</v>
      </c>
      <c r="I32" s="1"/>
      <c r="J32" s="1"/>
      <c r="K32" s="1"/>
    </row>
    <row r="33" spans="1:11" ht="20.25" customHeight="1" x14ac:dyDescent="0.25">
      <c r="C33" s="69" t="s">
        <v>213</v>
      </c>
      <c r="D33" s="69"/>
      <c r="E33" s="69"/>
      <c r="F33" s="71">
        <f>'cash flow'!N14</f>
        <v>17111.25</v>
      </c>
      <c r="H33" s="1" t="s">
        <v>219</v>
      </c>
      <c r="I33" s="1"/>
      <c r="J33" s="1"/>
      <c r="K33" s="1"/>
    </row>
    <row r="34" spans="1:11" ht="20.25" customHeight="1" x14ac:dyDescent="0.25">
      <c r="C34" s="69" t="s">
        <v>214</v>
      </c>
      <c r="D34" s="69"/>
      <c r="E34" s="69"/>
      <c r="F34" s="72">
        <f>SUM(F31:F33)</f>
        <v>2567511.25</v>
      </c>
      <c r="H34" s="1" t="s">
        <v>220</v>
      </c>
      <c r="I34" s="1"/>
      <c r="J34" s="1"/>
      <c r="K34" s="1"/>
    </row>
    <row r="35" spans="1:11" ht="20.25" customHeight="1" x14ac:dyDescent="0.25">
      <c r="H35" s="1" t="s">
        <v>221</v>
      </c>
      <c r="I35" s="1"/>
      <c r="J35" s="1"/>
      <c r="K35" s="1"/>
    </row>
    <row r="36" spans="1:11" ht="20.25" customHeight="1" x14ac:dyDescent="0.25">
      <c r="B36" s="41" t="s">
        <v>167</v>
      </c>
      <c r="C36" s="41"/>
      <c r="D36" s="41"/>
      <c r="E36" s="37"/>
      <c r="F36" s="37"/>
      <c r="G36" s="37"/>
      <c r="H36" s="37"/>
    </row>
    <row r="37" spans="1:11" ht="36.75" customHeight="1" x14ac:dyDescent="0.25">
      <c r="A37">
        <v>1</v>
      </c>
      <c r="B37" s="104" t="s">
        <v>168</v>
      </c>
      <c r="C37" s="104"/>
      <c r="D37" s="104"/>
      <c r="E37" s="104"/>
      <c r="F37" s="104"/>
      <c r="G37" s="104"/>
      <c r="H37" s="104"/>
      <c r="I37" s="104"/>
    </row>
    <row r="38" spans="1:11" ht="37.5" customHeight="1" x14ac:dyDescent="0.25">
      <c r="A38">
        <v>2</v>
      </c>
      <c r="B38" s="102" t="s">
        <v>169</v>
      </c>
      <c r="C38" s="102"/>
      <c r="D38" s="102"/>
      <c r="E38" s="102"/>
      <c r="F38" s="102"/>
      <c r="G38" s="102"/>
      <c r="H38" s="102"/>
      <c r="I38" s="102"/>
    </row>
    <row r="39" spans="1:11" ht="20.25" customHeight="1" x14ac:dyDescent="0.25">
      <c r="B39" s="53"/>
      <c r="C39" s="53"/>
      <c r="D39" s="53"/>
      <c r="E39" s="53"/>
      <c r="F39" s="53"/>
      <c r="G39" s="53"/>
      <c r="H39" s="53"/>
      <c r="I39" s="53"/>
    </row>
  </sheetData>
  <mergeCells count="5">
    <mergeCell ref="B38:I38"/>
    <mergeCell ref="F18:F19"/>
    <mergeCell ref="B1:E1"/>
    <mergeCell ref="B16:C16"/>
    <mergeCell ref="B37:I37"/>
  </mergeCells>
  <pageMargins left="0.70866141732283472" right="0.5118110236220472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overview</vt:lpstr>
      <vt:lpstr>tep </vt:lpstr>
      <vt:lpstr>expenditure</vt:lpstr>
      <vt:lpstr>flock projection</vt:lpstr>
      <vt:lpstr>cash flow</vt:lpstr>
      <vt:lpstr>repayment schedule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2025-01-10T11:56:41Z</dcterms:modified>
</cp:coreProperties>
</file>