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filterPrivacy="1" defaultThemeVersion="124226"/>
  <xr:revisionPtr revIDLastSave="0" documentId="13_ncr:1_{EB0BE1ED-56C7-46A3-8C19-4DDA1B38A59D}" xr6:coauthVersionLast="36" xr6:coauthVersionMax="36" xr10:uidLastSave="{00000000-0000-0000-0000-000000000000}"/>
  <bookViews>
    <workbookView xWindow="0" yWindow="0" windowWidth="20490" windowHeight="7545" tabRatio="826" activeTab="7" xr2:uid="{00000000-000D-0000-FFFF-FFFF00000000}"/>
  </bookViews>
  <sheets>
    <sheet name="overview" sheetId="1" r:id="rId1"/>
    <sheet name="tep-1" sheetId="2" r:id="rId2"/>
    <sheet name="tep-2" sheetId="3" r:id="rId3"/>
    <sheet name="expenditure" sheetId="4" r:id="rId4"/>
    <sheet name="flock projection" sheetId="5" r:id="rId5"/>
    <sheet name="lactation" sheetId="6" r:id="rId6"/>
    <sheet name="balance sheet" sheetId="7" r:id="rId7"/>
    <sheet name="repayment schedule" sheetId="8" r:id="rId8"/>
  </sheets>
  <calcPr calcId="191029"/>
</workbook>
</file>

<file path=xl/calcChain.xml><?xml version="1.0" encoding="utf-8"?>
<calcChain xmlns="http://schemas.openxmlformats.org/spreadsheetml/2006/main">
  <c r="I7" i="7" l="1"/>
  <c r="H7" i="7"/>
  <c r="G16" i="4" l="1"/>
  <c r="G15" i="8" l="1"/>
  <c r="H6" i="6"/>
  <c r="I6" i="6"/>
  <c r="J6" i="6"/>
  <c r="K6" i="6"/>
  <c r="L6" i="6"/>
  <c r="M6" i="6"/>
  <c r="N6" i="6"/>
  <c r="O6" i="6"/>
  <c r="P6" i="6"/>
  <c r="Q6" i="6"/>
  <c r="G6" i="6"/>
  <c r="F6" i="6"/>
  <c r="E6" i="6"/>
  <c r="D6" i="6"/>
  <c r="B6" i="6"/>
  <c r="Q5" i="6"/>
  <c r="P5" i="6"/>
  <c r="O5" i="6"/>
  <c r="N5" i="6"/>
  <c r="L5" i="6"/>
  <c r="M5" i="6"/>
  <c r="K5" i="6"/>
  <c r="J5" i="6"/>
  <c r="I5" i="6"/>
  <c r="H5" i="6"/>
  <c r="G5" i="6"/>
  <c r="F5" i="6"/>
  <c r="E5" i="6"/>
  <c r="D5" i="6"/>
  <c r="C5" i="6"/>
  <c r="B5" i="6"/>
  <c r="C6" i="6" l="1"/>
  <c r="H17" i="2"/>
  <c r="H5" i="7"/>
  <c r="L5" i="7" s="1"/>
  <c r="F11" i="5"/>
  <c r="F4" i="5"/>
  <c r="F5" i="5" s="1"/>
  <c r="F6" i="5"/>
  <c r="F7" i="5" s="1"/>
  <c r="C8" i="6" l="1"/>
  <c r="H14" i="6" s="1"/>
  <c r="D8" i="6"/>
  <c r="I13" i="6" s="1"/>
  <c r="F13" i="5"/>
  <c r="F14" i="5"/>
  <c r="H6" i="7" s="1"/>
  <c r="E11" i="8"/>
  <c r="F11" i="8" s="1"/>
  <c r="K5" i="7"/>
  <c r="J5" i="7"/>
  <c r="O5" i="7"/>
  <c r="N5" i="7"/>
  <c r="I5" i="7"/>
  <c r="M5" i="7"/>
  <c r="O8" i="6"/>
  <c r="N8" i="6"/>
  <c r="K8" i="6"/>
  <c r="J8" i="6"/>
  <c r="G8" i="6"/>
  <c r="F8" i="6"/>
  <c r="Q8" i="6"/>
  <c r="I8" i="6"/>
  <c r="M8" i="6"/>
  <c r="H8" i="6"/>
  <c r="L8" i="6"/>
  <c r="P8" i="6"/>
  <c r="E8" i="6"/>
  <c r="B8" i="6"/>
  <c r="F17" i="5"/>
  <c r="F9" i="5"/>
  <c r="F10" i="5" s="1"/>
  <c r="F16" i="5" s="1"/>
  <c r="G4" i="5" l="1"/>
  <c r="I22" i="7" s="1"/>
  <c r="H22" i="7"/>
  <c r="H16" i="6"/>
  <c r="I15" i="6"/>
  <c r="F15" i="5"/>
  <c r="O13" i="6"/>
  <c r="K14" i="6"/>
  <c r="K16" i="6"/>
  <c r="K15" i="6" s="1"/>
  <c r="L13" i="6"/>
  <c r="I14" i="6"/>
  <c r="I20" i="6" s="1"/>
  <c r="I4" i="7" s="1"/>
  <c r="I16" i="6"/>
  <c r="M14" i="6"/>
  <c r="M16" i="6"/>
  <c r="M15" i="6" s="1"/>
  <c r="J14" i="6"/>
  <c r="J16" i="6"/>
  <c r="J15" i="6" s="1"/>
  <c r="N14" i="6"/>
  <c r="N16" i="6"/>
  <c r="N15" i="6" s="1"/>
  <c r="H3" i="7"/>
  <c r="H13" i="6"/>
  <c r="H20" i="6" s="1"/>
  <c r="H4" i="7" s="1"/>
  <c r="H15" i="6"/>
  <c r="J13" i="6"/>
  <c r="N13" i="6"/>
  <c r="M13" i="6"/>
  <c r="O14" i="6"/>
  <c r="O16" i="6"/>
  <c r="O15" i="6" s="1"/>
  <c r="L16" i="6"/>
  <c r="L15" i="6" s="1"/>
  <c r="L14" i="6"/>
  <c r="K13" i="6"/>
  <c r="G6" i="5"/>
  <c r="G9" i="5" s="1"/>
  <c r="G10" i="5" s="1"/>
  <c r="G5" i="5"/>
  <c r="H8" i="7" l="1"/>
  <c r="H13" i="7" s="1"/>
  <c r="K20" i="6"/>
  <c r="K4" i="7" s="1"/>
  <c r="N20" i="6"/>
  <c r="N4" i="7" s="1"/>
  <c r="M20" i="6"/>
  <c r="M4" i="7" s="1"/>
  <c r="L20" i="6"/>
  <c r="L4" i="7" s="1"/>
  <c r="J20" i="6"/>
  <c r="J4" i="7" s="1"/>
  <c r="O20" i="6"/>
  <c r="O4" i="7" s="1"/>
  <c r="I3" i="7"/>
  <c r="G17" i="5"/>
  <c r="G8" i="5"/>
  <c r="G14" i="5" s="1"/>
  <c r="I6" i="7" s="1"/>
  <c r="G16" i="5"/>
  <c r="H4" i="5" s="1"/>
  <c r="I8" i="7" l="1"/>
  <c r="H9" i="5"/>
  <c r="H10" i="5" s="1"/>
  <c r="H11" i="5"/>
  <c r="J7" i="7" s="1"/>
  <c r="J22" i="7"/>
  <c r="I13" i="7"/>
  <c r="J3" i="7"/>
  <c r="G13" i="5"/>
  <c r="G15" i="5" s="1"/>
  <c r="H5" i="5" s="1"/>
  <c r="H17" i="5" s="1"/>
  <c r="H8" i="5"/>
  <c r="H12" i="5" l="1"/>
  <c r="H16" i="5" s="1"/>
  <c r="I4" i="5" s="1"/>
  <c r="I11" i="5" s="1"/>
  <c r="K3" i="7"/>
  <c r="H13" i="5"/>
  <c r="H14" i="5" l="1"/>
  <c r="J6" i="7" s="1"/>
  <c r="J8" i="7" s="1"/>
  <c r="K22" i="7"/>
  <c r="I6" i="5"/>
  <c r="I9" i="5" s="1"/>
  <c r="I10" i="5" s="1"/>
  <c r="I12" i="5"/>
  <c r="K7" i="7"/>
  <c r="J13" i="7"/>
  <c r="H15" i="5"/>
  <c r="I5" i="5" s="1"/>
  <c r="L3" i="7"/>
  <c r="I8" i="5" l="1"/>
  <c r="I17" i="5"/>
  <c r="I16" i="5"/>
  <c r="J4" i="5" s="1"/>
  <c r="J11" i="5" s="1"/>
  <c r="M3" i="7"/>
  <c r="I13" i="5"/>
  <c r="J9" i="5" l="1"/>
  <c r="J10" i="5" s="1"/>
  <c r="L22" i="7"/>
  <c r="I14" i="5"/>
  <c r="K6" i="7" s="1"/>
  <c r="K8" i="7" s="1"/>
  <c r="N3" i="7"/>
  <c r="J12" i="5" l="1"/>
  <c r="J16" i="5" s="1"/>
  <c r="L7" i="7"/>
  <c r="J8" i="5"/>
  <c r="K13" i="7"/>
  <c r="I15" i="5"/>
  <c r="J5" i="5" s="1"/>
  <c r="J17" i="5" s="1"/>
  <c r="O3" i="7"/>
  <c r="J14" i="5" l="1"/>
  <c r="L6" i="7" s="1"/>
  <c r="L8" i="7" s="1"/>
  <c r="K4" i="5"/>
  <c r="O9" i="7"/>
  <c r="J13" i="5"/>
  <c r="G23" i="4"/>
  <c r="F23" i="4"/>
  <c r="F22" i="4"/>
  <c r="F21" i="4"/>
  <c r="F20" i="4"/>
  <c r="G19" i="4"/>
  <c r="F19" i="4"/>
  <c r="G18" i="4"/>
  <c r="F18" i="4"/>
  <c r="G17" i="4"/>
  <c r="F17" i="4"/>
  <c r="F16" i="4"/>
  <c r="F15" i="4"/>
  <c r="F10" i="4"/>
  <c r="H10" i="4" s="1"/>
  <c r="F9" i="4"/>
  <c r="H9" i="4" s="1"/>
  <c r="F8" i="4"/>
  <c r="G7" i="4"/>
  <c r="F7" i="4"/>
  <c r="G6" i="4"/>
  <c r="F6" i="4"/>
  <c r="F5" i="4"/>
  <c r="G4" i="4"/>
  <c r="G8" i="4" s="1"/>
  <c r="H8" i="4" s="1"/>
  <c r="F4" i="4"/>
  <c r="G15" i="4"/>
  <c r="J15" i="5" l="1"/>
  <c r="O10" i="7" s="1"/>
  <c r="I29" i="8" s="1"/>
  <c r="M22" i="7"/>
  <c r="K11" i="5"/>
  <c r="K6" i="5" s="1"/>
  <c r="H23" i="4"/>
  <c r="H18" i="7" s="1"/>
  <c r="O18" i="7" s="1"/>
  <c r="M7" i="7"/>
  <c r="H25" i="7"/>
  <c r="O12" i="7" s="1"/>
  <c r="I31" i="8" s="1"/>
  <c r="I25" i="7"/>
  <c r="L25" i="7"/>
  <c r="M25" i="7"/>
  <c r="N25" i="7"/>
  <c r="K25" i="7"/>
  <c r="J25" i="7"/>
  <c r="H15" i="4"/>
  <c r="H11" i="6" s="1"/>
  <c r="I11" i="6" s="1"/>
  <c r="H4" i="4"/>
  <c r="M24" i="7" s="1"/>
  <c r="G20" i="4"/>
  <c r="G21" i="4" s="1"/>
  <c r="G22" i="4" s="1"/>
  <c r="H22" i="4" s="1"/>
  <c r="H21" i="7" s="1"/>
  <c r="H6" i="4"/>
  <c r="H7" i="4"/>
  <c r="H19" i="4"/>
  <c r="H17" i="6" s="1"/>
  <c r="H18" i="4"/>
  <c r="H17" i="4"/>
  <c r="H12" i="6" s="1"/>
  <c r="H16" i="4"/>
  <c r="K5" i="5" l="1"/>
  <c r="K17" i="5" s="1"/>
  <c r="J18" i="7"/>
  <c r="I18" i="7"/>
  <c r="L18" i="7"/>
  <c r="M18" i="7"/>
  <c r="N18" i="7"/>
  <c r="K18" i="7"/>
  <c r="L13" i="7"/>
  <c r="K9" i="5"/>
  <c r="K10" i="5" s="1"/>
  <c r="K16" i="5" s="1"/>
  <c r="L4" i="5" s="1"/>
  <c r="L11" i="5" s="1"/>
  <c r="J24" i="7"/>
  <c r="H24" i="7"/>
  <c r="J11" i="6"/>
  <c r="O11" i="6"/>
  <c r="L24" i="7"/>
  <c r="N24" i="7"/>
  <c r="G5" i="4"/>
  <c r="H5" i="4" s="1"/>
  <c r="H11" i="4" s="1"/>
  <c r="C16" i="8" s="1"/>
  <c r="H20" i="4"/>
  <c r="H19" i="7" s="1"/>
  <c r="K19" i="7" s="1"/>
  <c r="K24" i="7"/>
  <c r="I24" i="7"/>
  <c r="K11" i="6"/>
  <c r="N11" i="6"/>
  <c r="H21" i="4"/>
  <c r="H20" i="7" s="1"/>
  <c r="N20" i="7" s="1"/>
  <c r="O24" i="7"/>
  <c r="L11" i="6"/>
  <c r="M11" i="6"/>
  <c r="L17" i="6"/>
  <c r="J17" i="6"/>
  <c r="N17" i="6"/>
  <c r="M17" i="6"/>
  <c r="O17" i="6"/>
  <c r="I17" i="6"/>
  <c r="K17" i="6"/>
  <c r="M12" i="6"/>
  <c r="M18" i="6" s="1"/>
  <c r="M17" i="7" s="1"/>
  <c r="L12" i="6"/>
  <c r="N12" i="6"/>
  <c r="J12" i="6"/>
  <c r="O12" i="6"/>
  <c r="I12" i="6"/>
  <c r="K12" i="6"/>
  <c r="H18" i="6"/>
  <c r="H17" i="7" s="1"/>
  <c r="L23" i="7"/>
  <c r="H23" i="7"/>
  <c r="M23" i="7"/>
  <c r="I23" i="7"/>
  <c r="N23" i="7"/>
  <c r="J23" i="7"/>
  <c r="O23" i="7"/>
  <c r="K23" i="7"/>
  <c r="O21" i="7"/>
  <c r="M21" i="7"/>
  <c r="K21" i="7"/>
  <c r="I21" i="7"/>
  <c r="L21" i="7"/>
  <c r="N21" i="7"/>
  <c r="J21" i="7"/>
  <c r="O11" i="7" l="1"/>
  <c r="I30" i="8" s="1"/>
  <c r="I32" i="8" s="1"/>
  <c r="K8" i="5"/>
  <c r="L9" i="5"/>
  <c r="L10" i="5" s="1"/>
  <c r="N22" i="7"/>
  <c r="I20" i="7"/>
  <c r="M20" i="7"/>
  <c r="O20" i="7"/>
  <c r="L20" i="7"/>
  <c r="K20" i="7"/>
  <c r="J20" i="7"/>
  <c r="J19" i="7"/>
  <c r="I19" i="7"/>
  <c r="I18" i="6"/>
  <c r="I17" i="7" s="1"/>
  <c r="O19" i="7"/>
  <c r="M19" i="7"/>
  <c r="M26" i="7" s="1"/>
  <c r="K18" i="6"/>
  <c r="K17" i="7" s="1"/>
  <c r="N18" i="6"/>
  <c r="N17" i="7" s="1"/>
  <c r="H24" i="4"/>
  <c r="H26" i="4" s="1"/>
  <c r="N19" i="7"/>
  <c r="L19" i="7"/>
  <c r="L18" i="6"/>
  <c r="L17" i="7" s="1"/>
  <c r="H26" i="7"/>
  <c r="H28" i="7" s="1"/>
  <c r="J18" i="6"/>
  <c r="J17" i="7" s="1"/>
  <c r="J26" i="7" s="1"/>
  <c r="J28" i="7" s="1"/>
  <c r="O18" i="6"/>
  <c r="O17" i="7" s="1"/>
  <c r="I26" i="7" l="1"/>
  <c r="I28" i="7" s="1"/>
  <c r="L12" i="5"/>
  <c r="L16" i="5" s="1"/>
  <c r="M4" i="5" s="1"/>
  <c r="M11" i="5" s="1"/>
  <c r="N7" i="7"/>
  <c r="L8" i="5"/>
  <c r="K14" i="5"/>
  <c r="M6" i="7" s="1"/>
  <c r="M8" i="7" s="1"/>
  <c r="M13" i="7" s="1"/>
  <c r="M31" i="7" s="1"/>
  <c r="K13" i="5"/>
  <c r="N26" i="7"/>
  <c r="K26" i="7"/>
  <c r="I29" i="7"/>
  <c r="I30" i="7" s="1"/>
  <c r="C6" i="8"/>
  <c r="J31" i="7"/>
  <c r="H29" i="7"/>
  <c r="H30" i="7" s="1"/>
  <c r="H31" i="7"/>
  <c r="L26" i="7"/>
  <c r="L28" i="7" s="1"/>
  <c r="F22" i="1"/>
  <c r="F23" i="1" s="1"/>
  <c r="D16" i="8"/>
  <c r="I31" i="7" l="1"/>
  <c r="M28" i="7"/>
  <c r="M29" i="7" s="1"/>
  <c r="M30" i="7" s="1"/>
  <c r="K15" i="5"/>
  <c r="L5" i="5" s="1"/>
  <c r="L17" i="5" s="1"/>
  <c r="O22" i="7"/>
  <c r="O26" i="7" s="1"/>
  <c r="K31" i="7"/>
  <c r="K28" i="7"/>
  <c r="C4" i="8"/>
  <c r="F24" i="1"/>
  <c r="D4" i="8" s="1"/>
  <c r="J29" i="7"/>
  <c r="J30" i="7" s="1"/>
  <c r="C5" i="8"/>
  <c r="L31" i="7"/>
  <c r="C9" i="8" l="1"/>
  <c r="L13" i="5"/>
  <c r="L14" i="5"/>
  <c r="N6" i="7" s="1"/>
  <c r="N8" i="7" s="1"/>
  <c r="N13" i="7" s="1"/>
  <c r="N31" i="7" s="1"/>
  <c r="C7" i="8"/>
  <c r="O7" i="7"/>
  <c r="M6" i="5"/>
  <c r="K29" i="7"/>
  <c r="K30" i="7" s="1"/>
  <c r="E4" i="8"/>
  <c r="F4" i="8" s="1"/>
  <c r="C8" i="8"/>
  <c r="L29" i="7"/>
  <c r="L30" i="7" s="1"/>
  <c r="D5" i="8"/>
  <c r="L15" i="5" l="1"/>
  <c r="M5" i="5" s="1"/>
  <c r="M17" i="5" s="1"/>
  <c r="N28" i="7"/>
  <c r="C10" i="8" s="1"/>
  <c r="C17" i="8"/>
  <c r="M9" i="5"/>
  <c r="M10" i="5" s="1"/>
  <c r="M16" i="5" s="1"/>
  <c r="N4" i="5" s="1"/>
  <c r="N11" i="5" s="1"/>
  <c r="G4" i="8"/>
  <c r="D6" i="8"/>
  <c r="N29" i="7" l="1"/>
  <c r="N30" i="7" s="1"/>
  <c r="D17" i="8"/>
  <c r="E17" i="8"/>
  <c r="N9" i="5"/>
  <c r="N10" i="5" s="1"/>
  <c r="N12" i="5"/>
  <c r="M8" i="5"/>
  <c r="D7" i="8"/>
  <c r="N16" i="5" l="1"/>
  <c r="O4" i="5" s="1"/>
  <c r="N8" i="5"/>
  <c r="M13" i="5"/>
  <c r="M14" i="5"/>
  <c r="O6" i="7" s="1"/>
  <c r="O8" i="7" s="1"/>
  <c r="D8" i="8"/>
  <c r="O11" i="5" l="1"/>
  <c r="O6" i="5" s="1"/>
  <c r="O9" i="5" s="1"/>
  <c r="O10" i="5" s="1"/>
  <c r="O16" i="5" s="1"/>
  <c r="M15" i="5"/>
  <c r="N5" i="5" s="1"/>
  <c r="N17" i="5" s="1"/>
  <c r="O28" i="7"/>
  <c r="D31" i="8" s="1"/>
  <c r="O13" i="7"/>
  <c r="N13" i="5" l="1"/>
  <c r="N14" i="5"/>
  <c r="O8" i="5"/>
  <c r="D28" i="8"/>
  <c r="O31" i="7"/>
  <c r="O29" i="7"/>
  <c r="O30" i="7" s="1"/>
  <c r="C11" i="8"/>
  <c r="D10" i="8"/>
  <c r="E7" i="8"/>
  <c r="F7" i="8" s="1"/>
  <c r="C20" i="8" s="1"/>
  <c r="N15" i="5" l="1"/>
  <c r="O5" i="5" s="1"/>
  <c r="O17" i="5" s="1"/>
  <c r="D20" i="8"/>
  <c r="O13" i="5"/>
  <c r="C24" i="8"/>
  <c r="D24" i="8" s="1"/>
  <c r="G11" i="8"/>
  <c r="E10" i="8"/>
  <c r="F10" i="8" s="1"/>
  <c r="E8" i="8"/>
  <c r="F8" i="8" s="1"/>
  <c r="E5" i="8"/>
  <c r="F5" i="8" s="1"/>
  <c r="G7" i="8"/>
  <c r="E9" i="8"/>
  <c r="F9" i="8" s="1"/>
  <c r="E6" i="8"/>
  <c r="F6" i="8" s="1"/>
  <c r="O14" i="5" l="1"/>
  <c r="D29" i="8"/>
  <c r="O15" i="5"/>
  <c r="D30" i="8"/>
  <c r="G9" i="8"/>
  <c r="C22" i="8"/>
  <c r="D22" i="8" s="1"/>
  <c r="G10" i="8"/>
  <c r="C23" i="8"/>
  <c r="D23" i="8" s="1"/>
  <c r="C19" i="8"/>
  <c r="G6" i="8"/>
  <c r="G8" i="8"/>
  <c r="C21" i="8"/>
  <c r="C18" i="8"/>
  <c r="E18" i="8" s="1"/>
  <c r="G5" i="8"/>
  <c r="D19" i="8" l="1"/>
  <c r="E19" i="8"/>
  <c r="E20" i="8"/>
  <c r="D21" i="8"/>
  <c r="E21" i="8"/>
  <c r="E22" i="8"/>
  <c r="E23" i="8"/>
  <c r="E24" i="8"/>
  <c r="D32" i="8"/>
  <c r="D18" i="8"/>
  <c r="D27" i="8"/>
  <c r="E26" i="8"/>
  <c r="D26" i="8" l="1"/>
</calcChain>
</file>

<file path=xl/sharedStrings.xml><?xml version="1.0" encoding="utf-8"?>
<sst xmlns="http://schemas.openxmlformats.org/spreadsheetml/2006/main" count="263" uniqueCount="216">
  <si>
    <t>PROJECT REPORT FOR CROSSBRED COWS UNIT</t>
  </si>
  <si>
    <t>PREPARED BY:</t>
  </si>
  <si>
    <t>OVERVIEW:</t>
  </si>
  <si>
    <t>Name of the Farmer</t>
  </si>
  <si>
    <t>Name of the Village</t>
  </si>
  <si>
    <t>Name of the Mandal</t>
  </si>
  <si>
    <t>Name of the District</t>
  </si>
  <si>
    <t>Age of the Farmer</t>
  </si>
  <si>
    <t>Socio-Economic status of the Farmer</t>
  </si>
  <si>
    <t>Number of the Cows proposed</t>
  </si>
  <si>
    <t>Number of batches proposed</t>
  </si>
  <si>
    <t>Number of cows in Batch I</t>
  </si>
  <si>
    <t>Number of cows in Batch II</t>
  </si>
  <si>
    <t>Breed proposed</t>
  </si>
  <si>
    <t>Name of the Financing Bank</t>
  </si>
  <si>
    <t>Name of the sponsored scheme</t>
  </si>
  <si>
    <t>Total Project Cost (Rs.)</t>
  </si>
  <si>
    <t>Margin Money (Rs.)</t>
  </si>
  <si>
    <t>Bank Loan (Rs.)</t>
  </si>
  <si>
    <t>Rate of Interest (%)</t>
  </si>
  <si>
    <t>Rate of Subsidy (%)</t>
  </si>
  <si>
    <t>Repayment Period (Years)</t>
  </si>
  <si>
    <t>Techno-Economic Parameters:</t>
  </si>
  <si>
    <t xml:space="preserve">Type of green fodder </t>
  </si>
  <si>
    <t>Cost of each Crossbred cow (Rs.)</t>
  </si>
  <si>
    <t>Average milk production per cow per day (Lit.)</t>
  </si>
  <si>
    <t>Lactation days per cow (Days)</t>
  </si>
  <si>
    <t>Dry days per cow (Days)</t>
  </si>
  <si>
    <t>Average Intercalving Period (months)</t>
  </si>
  <si>
    <t>Quantity of milk fed to calf per day (lit.)</t>
  </si>
  <si>
    <t>Cost of concentrate feed (Rs/Kg)</t>
  </si>
  <si>
    <t xml:space="preserve">Quantity of concentrate feed per cow for maintenance </t>
  </si>
  <si>
    <t>Quantity of concentrate feed per pregnant cow per day</t>
  </si>
  <si>
    <t>Cost of TMR (Rs./Kg)</t>
  </si>
  <si>
    <t>Cost of fodder cultivation (Rs/Acre/Year)</t>
  </si>
  <si>
    <t>Cost of dry fodder (Rs/ton)</t>
  </si>
  <si>
    <t>Area required for fodder cultivation (acres)</t>
  </si>
  <si>
    <t>Quantity of TMR to be fed per cow as maintenance (Kg)</t>
  </si>
  <si>
    <t>Sale price of each gunny bag (Rs)</t>
  </si>
  <si>
    <t>Cost of feed supplement (Rs/lit)</t>
  </si>
  <si>
    <t>Cost of minor equipment (Rs/Cow)</t>
  </si>
  <si>
    <t>Cost of Chaff cutter (Rs)</t>
  </si>
  <si>
    <t>Cost of Milking Machine (Rs)</t>
  </si>
  <si>
    <t>Sale price of male calf at 4 months age (Rs)</t>
  </si>
  <si>
    <t>Sale price of female calf at 4 months age (Rs)</t>
  </si>
  <si>
    <t>Sale price of manure (Rs/ton)</t>
  </si>
  <si>
    <t>Floor space required per adult cow (sft)</t>
  </si>
  <si>
    <t>Open area required per adult cow (sft)</t>
  </si>
  <si>
    <t>Floor space required per calf (sft)</t>
  </si>
  <si>
    <t>Open area required per calf (sft)</t>
  </si>
  <si>
    <t>Cost of construction (Rs/sft)</t>
  </si>
  <si>
    <t>Cost of water and electricity per cow per year (Rs)</t>
  </si>
  <si>
    <t>Cost of Veterinary aid per cow per Year (Rs)</t>
  </si>
  <si>
    <t>Miscellaneous expenditure per cow per year (Rs)</t>
  </si>
  <si>
    <t>Annual rate of milk yield improvement (%)</t>
  </si>
  <si>
    <t>Insurance rate (%)</t>
  </si>
  <si>
    <t>Probability of female calf birth (%)</t>
  </si>
  <si>
    <t>Annual pregnancy rate (%)</t>
  </si>
  <si>
    <t>Culling rate per year (%)</t>
  </si>
  <si>
    <t>Non-Recurring Expenditure:</t>
  </si>
  <si>
    <t>Cost of Crossbred Cows</t>
  </si>
  <si>
    <t>Cost of Insurance</t>
  </si>
  <si>
    <t>Cost of construction of shelter to Cows</t>
  </si>
  <si>
    <t>Cost of minor equipment</t>
  </si>
  <si>
    <t>Cost of chaff cutter</t>
  </si>
  <si>
    <t>Cost of Milking machine</t>
  </si>
  <si>
    <t>Recurring Expenditure:</t>
  </si>
  <si>
    <t>Cost of fodder cultivation</t>
  </si>
  <si>
    <t>Cost of concentrate feed</t>
  </si>
  <si>
    <t>Cost of dry fodder</t>
  </si>
  <si>
    <t>Cost of TMR</t>
  </si>
  <si>
    <t>Cost of feed supplements</t>
  </si>
  <si>
    <t>Cost of Veterinary aid</t>
  </si>
  <si>
    <t>Water and Electricity charges</t>
  </si>
  <si>
    <t>Miscellaneous expenditure</t>
  </si>
  <si>
    <t>Total Non-Recurring Expenditure</t>
  </si>
  <si>
    <t>Total Recurring Expenditure</t>
  </si>
  <si>
    <t>Activity</t>
  </si>
  <si>
    <t>Unit cost</t>
  </si>
  <si>
    <t>Units</t>
  </si>
  <si>
    <t>Total</t>
  </si>
  <si>
    <t>Quantity of green fodder per cow per day (Kg/day)</t>
  </si>
  <si>
    <t>Quantity of Dry fodder per cow per day (Kg/day)</t>
  </si>
  <si>
    <t>Cost of construction of shelter to calves</t>
  </si>
  <si>
    <t>Opening stock of Cows</t>
  </si>
  <si>
    <t>Opening stock of calves</t>
  </si>
  <si>
    <t>Cows purchased during the year</t>
  </si>
  <si>
    <t>Mortality of Cows</t>
  </si>
  <si>
    <t>Replacement from Insurance</t>
  </si>
  <si>
    <t>Culled cows</t>
  </si>
  <si>
    <t>Replacement stock</t>
  </si>
  <si>
    <t>Mortality of calves</t>
  </si>
  <si>
    <t>Closing stock of calves</t>
  </si>
  <si>
    <t>Closing stock of cows</t>
  </si>
  <si>
    <t>Category</t>
  </si>
  <si>
    <t>I Year</t>
  </si>
  <si>
    <t>II Year</t>
  </si>
  <si>
    <t>III Year</t>
  </si>
  <si>
    <t>IV Year</t>
  </si>
  <si>
    <t>V Year</t>
  </si>
  <si>
    <t>VI Year</t>
  </si>
  <si>
    <t>VII Year</t>
  </si>
  <si>
    <t>VIII Year</t>
  </si>
  <si>
    <t>IX Year</t>
  </si>
  <si>
    <t>X Year</t>
  </si>
  <si>
    <t>Total herd maintained</t>
  </si>
  <si>
    <t>Calves purchased during the year</t>
  </si>
  <si>
    <t>Mortality rate in cows(%)</t>
  </si>
  <si>
    <t>Sale of calves</t>
  </si>
  <si>
    <t>Calves produced during the year</t>
  </si>
  <si>
    <t>Lactation Chart:</t>
  </si>
  <si>
    <t>Feeding Economics:</t>
  </si>
  <si>
    <t>Milk Days</t>
  </si>
  <si>
    <t>Dry Days</t>
  </si>
  <si>
    <t>Second batch animals are purchased after an interval of 6 months.</t>
  </si>
  <si>
    <t>I</t>
  </si>
  <si>
    <t>II</t>
  </si>
  <si>
    <t>III</t>
  </si>
  <si>
    <t>IV</t>
  </si>
  <si>
    <t>V</t>
  </si>
  <si>
    <t>VI</t>
  </si>
  <si>
    <t>VII</t>
  </si>
  <si>
    <t>VIII</t>
  </si>
  <si>
    <t>Cost of green fodder (Rs)</t>
  </si>
  <si>
    <t>Cost of concentrate during dry period (Rs)</t>
  </si>
  <si>
    <t>Cost of TMR during milch period (Rs)</t>
  </si>
  <si>
    <t>Cost of TMR during dry period  (Rs)</t>
  </si>
  <si>
    <t>Total Feeding cost per year  (Rs)</t>
  </si>
  <si>
    <t>Cost of dry fodder (Rs)</t>
  </si>
  <si>
    <t>Cost of Feed Supplements (Rs)</t>
  </si>
  <si>
    <t>Super Napier</t>
  </si>
  <si>
    <t>Income:</t>
  </si>
  <si>
    <t>Sale price of each Gunny bag (Rs)</t>
  </si>
  <si>
    <t>Unit packing of concentrate feed/TMR (Kg)</t>
  </si>
  <si>
    <t>Expenditure:</t>
  </si>
  <si>
    <t>Water and Electricity charges (Rs)</t>
  </si>
  <si>
    <t>Miscellaneous charges (Rs)</t>
  </si>
  <si>
    <t>Total Expenditure (Rs)</t>
  </si>
  <si>
    <t>Total Income (Rs)</t>
  </si>
  <si>
    <t>Sale of milk (Rs)</t>
  </si>
  <si>
    <t>Sale of manure (Rs)</t>
  </si>
  <si>
    <t>Sale of calves (Rs)</t>
  </si>
  <si>
    <t>Total feeding cost (Rs)</t>
  </si>
  <si>
    <t>Cost of Veterinary aid (Rs)</t>
  </si>
  <si>
    <t>Quantity of Concentrate feed (Kgs)</t>
  </si>
  <si>
    <t>Quantity of TMR (Kgs)</t>
  </si>
  <si>
    <t>Sale of Gunny bags from  feed (Rs)</t>
  </si>
  <si>
    <t>Gross Profit (Rs)</t>
  </si>
  <si>
    <t>Gross Profit per month (Rs)</t>
  </si>
  <si>
    <t>Gross Profit per cow (Rs)</t>
  </si>
  <si>
    <t>Repayment Schedule:</t>
  </si>
  <si>
    <t>Year</t>
  </si>
  <si>
    <t>Principal (Rs)</t>
  </si>
  <si>
    <t>Interest (Rs)</t>
  </si>
  <si>
    <t>Nett. Income (Rs)</t>
  </si>
  <si>
    <t xml:space="preserve"> I</t>
  </si>
  <si>
    <t>BATCH</t>
  </si>
  <si>
    <t>NPV &amp; IRR:</t>
  </si>
  <si>
    <t>Present Value</t>
  </si>
  <si>
    <t>NPV</t>
  </si>
  <si>
    <t>Cash Flow</t>
  </si>
  <si>
    <t>IRR</t>
  </si>
  <si>
    <t>CERTIFICATE</t>
  </si>
  <si>
    <t>Subsidy ceiling if any (Rs.)</t>
  </si>
  <si>
    <t>Sale price per liter of milk (Rs.)</t>
  </si>
  <si>
    <t>Quantity of concentrate feed per cow per liter of milk</t>
  </si>
  <si>
    <t>Quantity of TMR to be fed per cow per liter of milk (Kg)</t>
  </si>
  <si>
    <t>Number of labor required</t>
  </si>
  <si>
    <t>Cost of wages paid per labor per month (Rs)</t>
  </si>
  <si>
    <t>Mortality rate in calves (%)</t>
  </si>
  <si>
    <t>Depreciation on civil structures (%)</t>
  </si>
  <si>
    <t>Depreciation on equipment (%)</t>
  </si>
  <si>
    <t>Depreciation on Animals (%)</t>
  </si>
  <si>
    <t>* All the values are as per the standards prescribed by the National Dairy Research Institute (NDRI) - Karnal. The values are dynamic and subject to fluctuation and vary from area, market rate, season, breed and various other factors. The values used are for the purpose to arrive at the realistic calculation to check and assess the feasibility of the project.</t>
  </si>
  <si>
    <t>Labor charges</t>
  </si>
  <si>
    <t>Cost of concentrate during milch period (Rs)</t>
  </si>
  <si>
    <t>Cost of labor (Rs)</t>
  </si>
  <si>
    <t>Depreciation on Civil structures (Rs) @10%</t>
  </si>
  <si>
    <t>Depreciation on Animals (Rs) @10%</t>
  </si>
  <si>
    <t>Depreciation equipment (Rs) @15%</t>
  </si>
  <si>
    <t>The prices mentioned in this report are as per the prevailing market prices of the Respective items.</t>
  </si>
  <si>
    <t>The project is technically feasible and economically viable under proper care and Management by the entrepreneur.</t>
  </si>
  <si>
    <t>Installment (Rs)</t>
  </si>
  <si>
    <t>BCR</t>
  </si>
  <si>
    <t xml:space="preserve">Quantity of manure per cow per day (Kg) </t>
  </si>
  <si>
    <t>Total Project Cost (Rs)</t>
  </si>
  <si>
    <t>Closing stock value of cows</t>
  </si>
  <si>
    <t>Closing stock value of buildings</t>
  </si>
  <si>
    <t>Closing stock value of equipment</t>
  </si>
  <si>
    <t>Herd Projection:</t>
  </si>
  <si>
    <t>sale of culled animals (Rs)</t>
  </si>
  <si>
    <t>Gross Income (Rs)</t>
  </si>
  <si>
    <t>Closing stock value of calves</t>
  </si>
  <si>
    <t>cost of insurance (Rs)</t>
  </si>
  <si>
    <t>crossbred</t>
  </si>
  <si>
    <t>Quantity of feed supplements per cow per lactation (lit)</t>
  </si>
  <si>
    <t xml:space="preserve">Milk:non pregnant Dry animal ratio </t>
  </si>
  <si>
    <t>Salvage value of the project:</t>
  </si>
  <si>
    <t>Written down value of animals (Rs)</t>
  </si>
  <si>
    <t>Written down value of buildings (Rs)</t>
  </si>
  <si>
    <t>Written down value of equipments (Rs)</t>
  </si>
  <si>
    <t>Total Residual/salvage value (Rs)</t>
  </si>
  <si>
    <t>ADSCR</t>
  </si>
  <si>
    <t>DE Ratio</t>
  </si>
  <si>
    <t>NPV: Nett Present Value</t>
  </si>
  <si>
    <t>IRR: Internal Rate of Returns</t>
  </si>
  <si>
    <t>BCR: Benefit Cost Ratio</t>
  </si>
  <si>
    <t>ADSCR: Average Debt Service Coverage Ratio</t>
  </si>
  <si>
    <t>DE Ratio: Debt Equity Ratio</t>
  </si>
  <si>
    <t>Payback period (years)</t>
  </si>
  <si>
    <t>ROI: Return Of Investment</t>
  </si>
  <si>
    <t>ROI</t>
  </si>
  <si>
    <t xml:space="preserve"> Discount Factor</t>
  </si>
  <si>
    <t xml:space="preserve">BEP </t>
  </si>
  <si>
    <t>BEP: Break Even Period</t>
  </si>
  <si>
    <t>2-3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</si>
</sst>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_ ;_ &quot;₹&quot;\ * \-#,##0_ ;_ &quot;₹&quot;\ * &quot;-&quot;??_ ;_ @_ "/>
    <numFmt numFmtId="165" formatCode="0.000"/>
  </numFmts>
  <fonts count="18" x14ac:knownFonts="1">
    <font>
      <sz val="11"/>
      <color theme="1"/>
      <name val="Calibri"/>
      <family val="2"/>
      <scheme val="minor"/>
    </font>
    <font>
      <b/>
      <sz val="11"/>
      <color theme="1"/>
      <name val="Calibri"/>
      <family val="2"/>
      <scheme val="minor"/>
    </font>
    <font>
      <sz val="11"/>
      <color theme="1"/>
      <name val="Tahoma"/>
      <family val="2"/>
    </font>
    <font>
      <b/>
      <sz val="11"/>
      <color theme="1"/>
      <name val="Tahoma"/>
      <family val="2"/>
    </font>
    <font>
      <b/>
      <u/>
      <sz val="11"/>
      <color theme="1"/>
      <name val="Tahoma"/>
      <family val="2"/>
    </font>
    <font>
      <b/>
      <sz val="12"/>
      <color theme="1"/>
      <name val="Tahoma"/>
      <family val="2"/>
    </font>
    <font>
      <b/>
      <sz val="12"/>
      <color theme="1"/>
      <name val="Calibri"/>
      <family val="2"/>
      <scheme val="minor"/>
    </font>
    <font>
      <b/>
      <sz val="10"/>
      <color theme="1"/>
      <name val="Tahoma"/>
      <family val="2"/>
    </font>
    <font>
      <sz val="10"/>
      <color theme="1"/>
      <name val="Tahoma"/>
      <family val="2"/>
    </font>
    <font>
      <sz val="10"/>
      <color theme="1"/>
      <name val="Arial Rounded MT Bold"/>
      <family val="2"/>
    </font>
    <font>
      <b/>
      <sz val="11"/>
      <color rgb="FFFF0000"/>
      <name val="Tahoma"/>
      <family val="2"/>
    </font>
    <font>
      <b/>
      <u/>
      <sz val="11"/>
      <color rgb="FF000000"/>
      <name val="Tahoma"/>
      <family val="2"/>
    </font>
    <font>
      <sz val="12"/>
      <color rgb="FF000000"/>
      <name val="Tahoma"/>
      <family val="2"/>
    </font>
    <font>
      <sz val="11"/>
      <color rgb="FFFF0000"/>
      <name val="Tahoma"/>
      <family val="2"/>
    </font>
    <font>
      <b/>
      <sz val="11"/>
      <color rgb="FF0070C0"/>
      <name val="Tahoma"/>
      <family val="2"/>
    </font>
    <font>
      <b/>
      <sz val="9"/>
      <color theme="1"/>
      <name val="Tahoma"/>
      <family val="2"/>
    </font>
    <font>
      <sz val="11"/>
      <name val="Tahoma"/>
      <family val="2"/>
    </font>
    <font>
      <b/>
      <sz val="9"/>
      <color theme="1"/>
      <name val="Arial Rounded MT Bold"/>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1">
    <xf numFmtId="0" fontId="0" fillId="0" borderId="0" xfId="0"/>
    <xf numFmtId="0" fontId="1" fillId="0" borderId="0" xfId="0" applyFont="1"/>
    <xf numFmtId="0" fontId="3" fillId="0" borderId="0" xfId="0" applyFont="1"/>
    <xf numFmtId="0" fontId="4" fillId="0" borderId="0" xfId="0" applyFont="1" applyAlignment="1"/>
    <xf numFmtId="0" fontId="0" fillId="0" borderId="0" xfId="0" applyAlignment="1"/>
    <xf numFmtId="0" fontId="2" fillId="0" borderId="1" xfId="0" applyFont="1" applyBorder="1" applyAlignment="1">
      <alignment horizontal="left"/>
    </xf>
    <xf numFmtId="0" fontId="2" fillId="0" borderId="1" xfId="0" applyFont="1" applyBorder="1" applyAlignment="1">
      <alignment horizontal="left"/>
    </xf>
    <xf numFmtId="0" fontId="0" fillId="0" borderId="0" xfId="0" applyBorder="1" applyAlignment="1"/>
    <xf numFmtId="2" fontId="0" fillId="0" borderId="0" xfId="0" applyNumberFormat="1" applyBorder="1" applyAlignment="1"/>
    <xf numFmtId="10" fontId="0" fillId="0" borderId="0" xfId="0" applyNumberFormat="1" applyBorder="1" applyAlignment="1"/>
    <xf numFmtId="0" fontId="2" fillId="0" borderId="1" xfId="0" applyFont="1" applyBorder="1" applyAlignment="1">
      <alignment horizontal="right"/>
    </xf>
    <xf numFmtId="10" fontId="2" fillId="0" borderId="1" xfId="0" applyNumberFormat="1" applyFont="1" applyBorder="1" applyAlignment="1">
      <alignment horizontal="right"/>
    </xf>
    <xf numFmtId="0" fontId="0" fillId="0" borderId="1" xfId="0" applyBorder="1"/>
    <xf numFmtId="0" fontId="2" fillId="0" borderId="1" xfId="0" applyFont="1" applyBorder="1" applyAlignment="1">
      <alignment horizontal="center"/>
    </xf>
    <xf numFmtId="0" fontId="2" fillId="0" borderId="1" xfId="0" applyFont="1" applyFill="1" applyBorder="1" applyAlignment="1">
      <alignment horizontal="left"/>
    </xf>
    <xf numFmtId="0" fontId="0" fillId="0" borderId="1" xfId="0" applyBorder="1" applyAlignment="1">
      <alignment horizontal="left"/>
    </xf>
    <xf numFmtId="0" fontId="2" fillId="0" borderId="1" xfId="0" applyNumberFormat="1" applyFont="1" applyBorder="1" applyAlignment="1">
      <alignment horizontal="right"/>
    </xf>
    <xf numFmtId="20" fontId="2" fillId="0" borderId="1" xfId="0" applyNumberFormat="1" applyFont="1" applyBorder="1" applyAlignment="1">
      <alignment horizontal="right"/>
    </xf>
    <xf numFmtId="0" fontId="3" fillId="0" borderId="1" xfId="0" applyFont="1" applyBorder="1" applyAlignment="1">
      <alignment horizontal="right"/>
    </xf>
    <xf numFmtId="0" fontId="3" fillId="0" borderId="0" xfId="0" applyFont="1" applyAlignment="1">
      <alignment horizontal="right"/>
    </xf>
    <xf numFmtId="0" fontId="6" fillId="0" borderId="0" xfId="0" applyFont="1" applyAlignment="1">
      <alignment vertical="center" wrapText="1"/>
    </xf>
    <xf numFmtId="0" fontId="1" fillId="0" borderId="1" xfId="0" applyFont="1" applyBorder="1"/>
    <xf numFmtId="0" fontId="2" fillId="0" borderId="0" xfId="0" applyFont="1"/>
    <xf numFmtId="0" fontId="2" fillId="0" borderId="1" xfId="0" applyFont="1" applyBorder="1"/>
    <xf numFmtId="0" fontId="3" fillId="0" borderId="1" xfId="0" applyFont="1" applyBorder="1"/>
    <xf numFmtId="0" fontId="7" fillId="0" borderId="1" xfId="0" applyFont="1" applyBorder="1"/>
    <xf numFmtId="0" fontId="7" fillId="0" borderId="1" xfId="0" applyFont="1" applyBorder="1" applyAlignment="1"/>
    <xf numFmtId="1" fontId="2" fillId="0" borderId="1" xfId="0" applyNumberFormat="1" applyFont="1" applyBorder="1"/>
    <xf numFmtId="1" fontId="3" fillId="0" borderId="1" xfId="0" applyNumberFormat="1" applyFont="1" applyBorder="1"/>
    <xf numFmtId="0" fontId="7" fillId="0" borderId="1" xfId="0" applyFont="1" applyBorder="1" applyAlignment="1">
      <alignment horizontal="center" wrapText="1"/>
    </xf>
    <xf numFmtId="0" fontId="7" fillId="0" borderId="0" xfId="0" applyFont="1" applyBorder="1" applyAlignment="1"/>
    <xf numFmtId="0" fontId="3" fillId="0" borderId="0" xfId="0" applyFont="1" applyBorder="1" applyAlignment="1"/>
    <xf numFmtId="0" fontId="10" fillId="0" borderId="1" xfId="0" applyFont="1" applyBorder="1" applyAlignment="1">
      <alignment horizontal="right"/>
    </xf>
    <xf numFmtId="0" fontId="10" fillId="0" borderId="1" xfId="0" applyNumberFormat="1" applyFont="1" applyBorder="1" applyAlignment="1">
      <alignment horizontal="right"/>
    </xf>
    <xf numFmtId="10" fontId="10" fillId="0" borderId="1" xfId="0" applyNumberFormat="1" applyFont="1" applyBorder="1" applyAlignment="1">
      <alignment horizontal="right"/>
    </xf>
    <xf numFmtId="0" fontId="9" fillId="0" borderId="1" xfId="0" applyFont="1" applyBorder="1" applyAlignment="1">
      <alignment horizontal="right"/>
    </xf>
    <xf numFmtId="0" fontId="0" fillId="0" borderId="1" xfId="0" applyFont="1" applyBorder="1"/>
    <xf numFmtId="1" fontId="0" fillId="0" borderId="0" xfId="0" applyNumberFormat="1"/>
    <xf numFmtId="1" fontId="2" fillId="0" borderId="1" xfId="0" applyNumberFormat="1" applyFont="1" applyBorder="1" applyAlignment="1">
      <alignment horizontal="right"/>
    </xf>
    <xf numFmtId="1" fontId="3" fillId="0" borderId="1" xfId="0" applyNumberFormat="1" applyFont="1" applyBorder="1" applyAlignment="1">
      <alignment horizontal="right"/>
    </xf>
    <xf numFmtId="0" fontId="2" fillId="0" borderId="13" xfId="0" applyFont="1" applyBorder="1" applyAlignment="1">
      <alignment horizontal="center"/>
    </xf>
    <xf numFmtId="1" fontId="10" fillId="0" borderId="1" xfId="0" applyNumberFormat="1" applyFont="1" applyBorder="1" applyAlignment="1">
      <alignment horizontal="right"/>
    </xf>
    <xf numFmtId="0" fontId="0" fillId="0" borderId="0" xfId="0" applyAlignment="1">
      <alignment horizontal="center" vertical="center"/>
    </xf>
    <xf numFmtId="0" fontId="3" fillId="0" borderId="1" xfId="0" applyFont="1" applyBorder="1" applyAlignment="1">
      <alignment horizontal="center" vertical="center" wrapText="1"/>
    </xf>
    <xf numFmtId="164" fontId="2" fillId="0" borderId="1" xfId="0" applyNumberFormat="1" applyFont="1" applyBorder="1"/>
    <xf numFmtId="1" fontId="9" fillId="0" borderId="1" xfId="0" applyNumberFormat="1" applyFont="1" applyBorder="1" applyAlignment="1">
      <alignment horizontal="right"/>
    </xf>
    <xf numFmtId="0" fontId="7" fillId="0" borderId="1" xfId="0" applyFont="1" applyBorder="1" applyAlignment="1">
      <alignment vertical="center" textRotation="90"/>
    </xf>
    <xf numFmtId="0" fontId="3" fillId="0" borderId="0" xfId="0" applyFont="1" applyFill="1" applyBorder="1"/>
    <xf numFmtId="0" fontId="2" fillId="0" borderId="1" xfId="0" applyNumberFormat="1" applyFont="1" applyBorder="1" applyAlignment="1">
      <alignment horizontal="center" vertical="center" wrapText="1"/>
    </xf>
    <xf numFmtId="0" fontId="3" fillId="0" borderId="10" xfId="0" applyFont="1" applyBorder="1"/>
    <xf numFmtId="0" fontId="5" fillId="0" borderId="1" xfId="0" applyFont="1" applyBorder="1"/>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9" fontId="2" fillId="0" borderId="0" xfId="0" applyNumberFormat="1" applyFont="1"/>
    <xf numFmtId="1" fontId="3" fillId="0" borderId="1" xfId="0" applyNumberFormat="1" applyFont="1" applyFill="1" applyBorder="1"/>
    <xf numFmtId="9" fontId="3" fillId="0" borderId="1" xfId="0" applyNumberFormat="1" applyFont="1" applyBorder="1"/>
    <xf numFmtId="0" fontId="0" fillId="0" borderId="0" xfId="0" applyFill="1" applyBorder="1" applyAlignment="1">
      <alignment horizontal="left" vertical="top"/>
    </xf>
    <xf numFmtId="0" fontId="2" fillId="0" borderId="0" xfId="0" applyFont="1" applyAlignment="1">
      <alignment horizontal="right" vertical="center"/>
    </xf>
    <xf numFmtId="165" fontId="3" fillId="0" borderId="1" xfId="0" applyNumberFormat="1" applyFont="1" applyBorder="1"/>
    <xf numFmtId="0" fontId="2" fillId="0" borderId="1" xfId="0" applyFont="1" applyBorder="1" applyAlignment="1">
      <alignment horizontal="left"/>
    </xf>
    <xf numFmtId="0" fontId="13" fillId="0" borderId="1" xfId="0" applyFont="1" applyBorder="1" applyAlignment="1">
      <alignment horizontal="right"/>
    </xf>
    <xf numFmtId="10" fontId="13" fillId="0" borderId="1" xfId="0" applyNumberFormat="1" applyFont="1" applyBorder="1" applyAlignment="1">
      <alignment horizontal="right"/>
    </xf>
    <xf numFmtId="9" fontId="0" fillId="0" borderId="0" xfId="0" applyNumberFormat="1"/>
    <xf numFmtId="1" fontId="6" fillId="0" borderId="0" xfId="0" applyNumberFormat="1" applyFont="1"/>
    <xf numFmtId="1" fontId="13" fillId="0" borderId="1" xfId="0" applyNumberFormat="1" applyFont="1" applyBorder="1" applyAlignment="1">
      <alignment horizontal="right"/>
    </xf>
    <xf numFmtId="0" fontId="13" fillId="0" borderId="0" xfId="0" applyFont="1"/>
    <xf numFmtId="0" fontId="2" fillId="0" borderId="1" xfId="0" applyFont="1" applyBorder="1" applyAlignment="1">
      <alignment horizontal="center"/>
    </xf>
    <xf numFmtId="1" fontId="14" fillId="0" borderId="1" xfId="0" applyNumberFormat="1" applyFont="1" applyBorder="1" applyAlignment="1">
      <alignment horizontal="right"/>
    </xf>
    <xf numFmtId="1" fontId="0" fillId="0" borderId="1" xfId="0" applyNumberFormat="1" applyBorder="1"/>
    <xf numFmtId="1" fontId="1" fillId="0" borderId="1" xfId="0" applyNumberFormat="1" applyFont="1" applyBorder="1"/>
    <xf numFmtId="0" fontId="15" fillId="0" borderId="1" xfId="0" applyFont="1" applyBorder="1" applyAlignment="1">
      <alignment wrapText="1"/>
    </xf>
    <xf numFmtId="10" fontId="3" fillId="0" borderId="1" xfId="0" applyNumberFormat="1" applyFont="1" applyBorder="1"/>
    <xf numFmtId="0" fontId="2" fillId="0" borderId="0" xfId="0" applyFont="1" applyAlignment="1">
      <alignment wrapText="1"/>
    </xf>
    <xf numFmtId="9" fontId="0" fillId="0" borderId="1" xfId="0" applyNumberFormat="1" applyBorder="1"/>
    <xf numFmtId="1" fontId="16" fillId="0" borderId="1" xfId="0" applyNumberFormat="1" applyFont="1" applyBorder="1"/>
    <xf numFmtId="0" fontId="15" fillId="0" borderId="1" xfId="0" applyFont="1" applyBorder="1"/>
    <xf numFmtId="1" fontId="17" fillId="0" borderId="1" xfId="0" applyNumberFormat="1" applyFont="1" applyBorder="1"/>
    <xf numFmtId="0" fontId="2" fillId="0" borderId="1" xfId="0" applyFont="1" applyBorder="1" applyAlignment="1">
      <alignment horizontal="left"/>
    </xf>
    <xf numFmtId="0" fontId="0" fillId="0" borderId="0" xfId="0" applyAlignment="1">
      <alignment horizontal="center"/>
    </xf>
    <xf numFmtId="0" fontId="3" fillId="0" borderId="0" xfId="0" applyFont="1" applyAlignment="1">
      <alignment horizontal="left"/>
    </xf>
    <xf numFmtId="0" fontId="3" fillId="0" borderId="0" xfId="0" applyFont="1" applyBorder="1" applyAlignment="1">
      <alignment horizontal="left"/>
    </xf>
    <xf numFmtId="0" fontId="4" fillId="0" borderId="0" xfId="0" applyFont="1" applyAlignment="1">
      <alignment horizontal="center"/>
    </xf>
    <xf numFmtId="0" fontId="3" fillId="0" borderId="0" xfId="0"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left"/>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3" fillId="0" borderId="8" xfId="0" applyFont="1" applyBorder="1" applyAlignment="1">
      <alignment horizontal="center"/>
    </xf>
    <xf numFmtId="0" fontId="3" fillId="0" borderId="1" xfId="0" applyFont="1" applyBorder="1" applyAlignment="1"/>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 xfId="0" applyFont="1" applyBorder="1" applyAlignment="1">
      <alignment horizontal="center"/>
    </xf>
    <xf numFmtId="0" fontId="8" fillId="0" borderId="1" xfId="0" applyFont="1" applyBorder="1" applyAlignment="1">
      <alignment horizontal="left"/>
    </xf>
    <xf numFmtId="0" fontId="8"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8" fillId="0" borderId="11" xfId="0" applyFont="1" applyBorder="1" applyAlignment="1">
      <alignment horizontal="left"/>
    </xf>
    <xf numFmtId="0" fontId="8" fillId="0" borderId="12" xfId="0" applyFont="1" applyBorder="1" applyAlignment="1">
      <alignment horizontal="left"/>
    </xf>
    <xf numFmtId="0" fontId="11" fillId="0" borderId="0" xfId="0" applyFont="1" applyFill="1" applyBorder="1" applyAlignment="1">
      <alignment horizontal="left" vertical="top"/>
    </xf>
    <xf numFmtId="0" fontId="12" fillId="0" borderId="0" xfId="0" applyFont="1" applyFill="1" applyBorder="1" applyAlignment="1">
      <alignment horizontal="left" vertical="top"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7"/>
  <sheetViews>
    <sheetView topLeftCell="A15" workbookViewId="0">
      <selection activeCell="I27" sqref="I27"/>
    </sheetView>
  </sheetViews>
  <sheetFormatPr defaultColWidth="9.5703125" defaultRowHeight="19.5" customHeight="1" x14ac:dyDescent="0.25"/>
  <cols>
    <col min="1" max="1" width="5.42578125" customWidth="1"/>
    <col min="5" max="5" width="12.140625" customWidth="1"/>
    <col min="6" max="6" width="21.85546875" customWidth="1"/>
  </cols>
  <sheetData>
    <row r="2" spans="1:9" ht="19.5" customHeight="1" x14ac:dyDescent="0.25">
      <c r="B2" s="81" t="s">
        <v>0</v>
      </c>
      <c r="C2" s="81"/>
      <c r="D2" s="81"/>
      <c r="E2" s="81"/>
      <c r="F2" s="81"/>
      <c r="G2" s="3"/>
      <c r="H2" s="3"/>
      <c r="I2" s="3"/>
    </row>
    <row r="4" spans="1:9" ht="19.5" customHeight="1" x14ac:dyDescent="0.25">
      <c r="B4" s="80" t="s">
        <v>1</v>
      </c>
      <c r="C4" s="80"/>
      <c r="D4" s="80"/>
    </row>
    <row r="5" spans="1:9" ht="19.5" customHeight="1" x14ac:dyDescent="0.25">
      <c r="B5" s="83"/>
      <c r="C5" s="84"/>
      <c r="D5" s="84"/>
      <c r="E5" s="85"/>
    </row>
    <row r="6" spans="1:9" ht="19.5" customHeight="1" x14ac:dyDescent="0.25">
      <c r="B6" s="86"/>
      <c r="C6" s="87"/>
      <c r="D6" s="87"/>
      <c r="E6" s="88"/>
    </row>
    <row r="7" spans="1:9" ht="19.5" customHeight="1" x14ac:dyDescent="0.25">
      <c r="B7" s="86"/>
      <c r="C7" s="87"/>
      <c r="D7" s="87"/>
      <c r="E7" s="88"/>
    </row>
    <row r="8" spans="1:9" ht="19.5" customHeight="1" x14ac:dyDescent="0.25">
      <c r="B8" s="89"/>
      <c r="C8" s="90"/>
      <c r="D8" s="90"/>
      <c r="E8" s="91"/>
    </row>
    <row r="9" spans="1:9" ht="19.5" customHeight="1" x14ac:dyDescent="0.25">
      <c r="B9" s="78"/>
      <c r="C9" s="78"/>
      <c r="D9" s="78"/>
    </row>
    <row r="10" spans="1:9" ht="19.5" customHeight="1" x14ac:dyDescent="0.25">
      <c r="B10" s="79" t="s">
        <v>2</v>
      </c>
      <c r="C10" s="79"/>
      <c r="D10" s="79"/>
    </row>
    <row r="11" spans="1:9" ht="19.5" customHeight="1" x14ac:dyDescent="0.25">
      <c r="A11" s="5">
        <v>1</v>
      </c>
      <c r="B11" s="77" t="s">
        <v>3</v>
      </c>
      <c r="C11" s="77"/>
      <c r="D11" s="77"/>
      <c r="E11" s="77"/>
      <c r="F11" s="16"/>
      <c r="G11" s="7"/>
      <c r="H11" s="7"/>
    </row>
    <row r="12" spans="1:9" ht="19.5" customHeight="1" x14ac:dyDescent="0.25">
      <c r="A12" s="5">
        <v>2</v>
      </c>
      <c r="B12" s="77" t="s">
        <v>4</v>
      </c>
      <c r="C12" s="77"/>
      <c r="D12" s="77"/>
      <c r="E12" s="77"/>
      <c r="F12" s="16"/>
      <c r="G12" s="7"/>
      <c r="H12" s="7"/>
    </row>
    <row r="13" spans="1:9" ht="19.5" customHeight="1" x14ac:dyDescent="0.25">
      <c r="A13" s="5">
        <v>3</v>
      </c>
      <c r="B13" s="77" t="s">
        <v>5</v>
      </c>
      <c r="C13" s="77"/>
      <c r="D13" s="77"/>
      <c r="E13" s="77"/>
      <c r="F13" s="16"/>
      <c r="G13" s="7"/>
      <c r="H13" s="7"/>
    </row>
    <row r="14" spans="1:9" ht="19.5" customHeight="1" x14ac:dyDescent="0.25">
      <c r="A14" s="5">
        <v>4</v>
      </c>
      <c r="B14" s="77" t="s">
        <v>6</v>
      </c>
      <c r="C14" s="77"/>
      <c r="D14" s="77"/>
      <c r="E14" s="77"/>
      <c r="F14" s="16"/>
      <c r="G14" s="7"/>
      <c r="H14" s="7"/>
    </row>
    <row r="15" spans="1:9" ht="19.5" customHeight="1" x14ac:dyDescent="0.25">
      <c r="A15" s="5">
        <v>5</v>
      </c>
      <c r="B15" s="77" t="s">
        <v>7</v>
      </c>
      <c r="C15" s="77"/>
      <c r="D15" s="77"/>
      <c r="E15" s="77"/>
      <c r="F15" s="16"/>
      <c r="G15" s="7"/>
      <c r="H15" s="7"/>
    </row>
    <row r="16" spans="1:9" ht="19.5" customHeight="1" x14ac:dyDescent="0.25">
      <c r="A16" s="5">
        <v>6</v>
      </c>
      <c r="B16" s="77" t="s">
        <v>8</v>
      </c>
      <c r="C16" s="77"/>
      <c r="D16" s="77"/>
      <c r="E16" s="77"/>
      <c r="F16" s="16"/>
      <c r="G16" s="7"/>
      <c r="H16" s="7"/>
    </row>
    <row r="17" spans="1:8" ht="19.5" customHeight="1" x14ac:dyDescent="0.25">
      <c r="A17" s="5">
        <v>7</v>
      </c>
      <c r="B17" s="77" t="s">
        <v>9</v>
      </c>
      <c r="C17" s="77"/>
      <c r="D17" s="77"/>
      <c r="E17" s="77"/>
      <c r="F17" s="33">
        <v>100</v>
      </c>
      <c r="G17" s="8"/>
      <c r="H17" s="8"/>
    </row>
    <row r="18" spans="1:8" ht="19.5" customHeight="1" x14ac:dyDescent="0.25">
      <c r="A18" s="5">
        <v>8</v>
      </c>
      <c r="B18" s="77" t="s">
        <v>10</v>
      </c>
      <c r="C18" s="77"/>
      <c r="D18" s="77"/>
      <c r="E18" s="77"/>
      <c r="F18" s="33">
        <v>2</v>
      </c>
      <c r="G18" s="8"/>
      <c r="H18" s="8"/>
    </row>
    <row r="19" spans="1:8" ht="19.5" customHeight="1" x14ac:dyDescent="0.25">
      <c r="A19" s="5">
        <v>9</v>
      </c>
      <c r="B19" s="77" t="s">
        <v>11</v>
      </c>
      <c r="C19" s="77"/>
      <c r="D19" s="77"/>
      <c r="E19" s="77"/>
      <c r="F19" s="33">
        <v>50</v>
      </c>
      <c r="G19" s="8"/>
      <c r="H19" s="8"/>
    </row>
    <row r="20" spans="1:8" ht="19.5" customHeight="1" x14ac:dyDescent="0.25">
      <c r="A20" s="5">
        <v>10</v>
      </c>
      <c r="B20" s="77" t="s">
        <v>12</v>
      </c>
      <c r="C20" s="77"/>
      <c r="D20" s="77"/>
      <c r="E20" s="77"/>
      <c r="F20" s="33">
        <v>50</v>
      </c>
      <c r="G20" s="8"/>
      <c r="H20" s="8"/>
    </row>
    <row r="21" spans="1:8" ht="19.5" customHeight="1" x14ac:dyDescent="0.25">
      <c r="A21" s="5">
        <v>11</v>
      </c>
      <c r="B21" s="77" t="s">
        <v>13</v>
      </c>
      <c r="C21" s="77"/>
      <c r="D21" s="77"/>
      <c r="E21" s="77"/>
      <c r="F21" s="33" t="s">
        <v>194</v>
      </c>
      <c r="G21" s="7"/>
      <c r="H21" s="7"/>
    </row>
    <row r="22" spans="1:8" ht="19.5" customHeight="1" x14ac:dyDescent="0.25">
      <c r="A22" s="5">
        <v>12</v>
      </c>
      <c r="B22" s="77" t="s">
        <v>16</v>
      </c>
      <c r="C22" s="77"/>
      <c r="D22" s="77"/>
      <c r="E22" s="77"/>
      <c r="F22" s="38">
        <f>expenditure!H26</f>
        <v>17000625</v>
      </c>
      <c r="G22" s="8"/>
      <c r="H22" s="8"/>
    </row>
    <row r="23" spans="1:8" ht="19.5" customHeight="1" x14ac:dyDescent="0.25">
      <c r="A23" s="5">
        <v>13</v>
      </c>
      <c r="B23" s="77" t="s">
        <v>17</v>
      </c>
      <c r="C23" s="77"/>
      <c r="D23" s="77"/>
      <c r="E23" s="77"/>
      <c r="F23" s="41">
        <f>F22*0.2</f>
        <v>3400125</v>
      </c>
      <c r="G23" s="8"/>
      <c r="H23" s="8"/>
    </row>
    <row r="24" spans="1:8" ht="19.5" customHeight="1" x14ac:dyDescent="0.25">
      <c r="A24" s="5">
        <v>14</v>
      </c>
      <c r="B24" s="77" t="s">
        <v>18</v>
      </c>
      <c r="C24" s="77"/>
      <c r="D24" s="77"/>
      <c r="E24" s="77"/>
      <c r="F24" s="38">
        <f>(F22-F23-F30)</f>
        <v>13600500</v>
      </c>
      <c r="G24" s="8"/>
      <c r="H24" s="8"/>
    </row>
    <row r="25" spans="1:8" ht="19.5" customHeight="1" x14ac:dyDescent="0.25">
      <c r="A25" s="5">
        <v>15</v>
      </c>
      <c r="B25" s="77" t="s">
        <v>21</v>
      </c>
      <c r="C25" s="77"/>
      <c r="D25" s="77"/>
      <c r="E25" s="77"/>
      <c r="F25" s="33">
        <v>5</v>
      </c>
      <c r="G25" s="8"/>
      <c r="H25" s="8"/>
    </row>
    <row r="26" spans="1:8" ht="19.5" customHeight="1" x14ac:dyDescent="0.25">
      <c r="A26" s="5">
        <v>16</v>
      </c>
      <c r="B26" s="77" t="s">
        <v>19</v>
      </c>
      <c r="C26" s="77"/>
      <c r="D26" s="77"/>
      <c r="E26" s="77"/>
      <c r="F26" s="34">
        <v>0.12</v>
      </c>
      <c r="G26" s="9"/>
      <c r="H26" s="9"/>
    </row>
    <row r="27" spans="1:8" ht="19.5" customHeight="1" x14ac:dyDescent="0.25">
      <c r="A27" s="5">
        <v>17</v>
      </c>
      <c r="B27" s="77" t="s">
        <v>14</v>
      </c>
      <c r="C27" s="77"/>
      <c r="D27" s="77"/>
      <c r="E27" s="77"/>
      <c r="F27" s="16"/>
      <c r="G27" s="7"/>
      <c r="H27" s="7"/>
    </row>
    <row r="28" spans="1:8" ht="19.5" customHeight="1" x14ac:dyDescent="0.25">
      <c r="A28" s="5">
        <v>18</v>
      </c>
      <c r="B28" s="77" t="s">
        <v>15</v>
      </c>
      <c r="C28" s="77"/>
      <c r="D28" s="77"/>
      <c r="E28" s="77"/>
      <c r="F28" s="16"/>
      <c r="G28" s="7"/>
      <c r="H28" s="7"/>
    </row>
    <row r="29" spans="1:8" ht="19.5" customHeight="1" x14ac:dyDescent="0.25">
      <c r="A29" s="5">
        <v>19</v>
      </c>
      <c r="B29" s="77" t="s">
        <v>20</v>
      </c>
      <c r="C29" s="77"/>
      <c r="D29" s="77"/>
      <c r="E29" s="77"/>
      <c r="F29" s="34">
        <v>0</v>
      </c>
      <c r="G29" s="9"/>
      <c r="H29" s="9"/>
    </row>
    <row r="30" spans="1:8" ht="19.5" customHeight="1" x14ac:dyDescent="0.25">
      <c r="A30" s="5">
        <v>20</v>
      </c>
      <c r="B30" s="77" t="s">
        <v>163</v>
      </c>
      <c r="C30" s="77"/>
      <c r="D30" s="77"/>
      <c r="E30" s="77"/>
      <c r="F30" s="33">
        <v>0</v>
      </c>
      <c r="G30" s="8"/>
      <c r="H30" s="8"/>
    </row>
    <row r="31" spans="1:8" ht="19.5" customHeight="1" x14ac:dyDescent="0.25">
      <c r="A31" s="5">
        <v>21</v>
      </c>
      <c r="B31" s="77" t="s">
        <v>23</v>
      </c>
      <c r="C31" s="77"/>
      <c r="D31" s="77"/>
      <c r="E31" s="77"/>
      <c r="F31" s="33" t="s">
        <v>130</v>
      </c>
      <c r="G31" s="7"/>
      <c r="H31" s="7"/>
    </row>
    <row r="32" spans="1:8" ht="19.5" customHeight="1" x14ac:dyDescent="0.25">
      <c r="B32" s="82"/>
      <c r="C32" s="82"/>
      <c r="D32" s="82"/>
      <c r="E32" s="82"/>
      <c r="F32" s="4"/>
      <c r="G32" s="4"/>
      <c r="H32" s="4"/>
    </row>
    <row r="33" spans="2:8" ht="19.5" customHeight="1" x14ac:dyDescent="0.25">
      <c r="B33" s="78"/>
      <c r="C33" s="78"/>
      <c r="D33" s="78"/>
      <c r="E33" s="78"/>
      <c r="F33" s="4"/>
      <c r="G33" s="4"/>
      <c r="H33" s="4"/>
    </row>
    <row r="34" spans="2:8" ht="19.5" customHeight="1" x14ac:dyDescent="0.25">
      <c r="B34" s="78"/>
      <c r="C34" s="78"/>
      <c r="D34" s="78"/>
      <c r="E34" s="78"/>
      <c r="F34" s="4"/>
      <c r="G34" s="4"/>
      <c r="H34" s="4"/>
    </row>
    <row r="35" spans="2:8" ht="19.5" customHeight="1" x14ac:dyDescent="0.25">
      <c r="B35" s="78"/>
      <c r="C35" s="78"/>
      <c r="D35" s="78"/>
      <c r="E35" s="78"/>
      <c r="F35" s="4"/>
      <c r="G35" s="4"/>
      <c r="H35" s="4"/>
    </row>
    <row r="36" spans="2:8" ht="19.5" customHeight="1" x14ac:dyDescent="0.25">
      <c r="B36" s="78"/>
      <c r="C36" s="78"/>
      <c r="D36" s="78"/>
      <c r="E36" s="78"/>
      <c r="F36" s="4"/>
      <c r="G36" s="4"/>
      <c r="H36" s="4"/>
    </row>
    <row r="37" spans="2:8" ht="19.5" customHeight="1" x14ac:dyDescent="0.25">
      <c r="B37" s="78"/>
      <c r="C37" s="78"/>
      <c r="D37" s="78"/>
      <c r="E37" s="78"/>
      <c r="F37" s="4"/>
      <c r="G37" s="4"/>
      <c r="H37" s="4"/>
    </row>
  </sheetData>
  <mergeCells count="35">
    <mergeCell ref="B2:F2"/>
    <mergeCell ref="B34:E34"/>
    <mergeCell ref="B35:E35"/>
    <mergeCell ref="B36:E36"/>
    <mergeCell ref="B37:E37"/>
    <mergeCell ref="B32:E32"/>
    <mergeCell ref="B33:E33"/>
    <mergeCell ref="B5:E5"/>
    <mergeCell ref="B6:E6"/>
    <mergeCell ref="B7:E7"/>
    <mergeCell ref="B8:E8"/>
    <mergeCell ref="B31:E31"/>
    <mergeCell ref="B25:E25"/>
    <mergeCell ref="B26:E26"/>
    <mergeCell ref="B27:E27"/>
    <mergeCell ref="B28:E28"/>
    <mergeCell ref="B29:E29"/>
    <mergeCell ref="B30:E30"/>
    <mergeCell ref="B19:E19"/>
    <mergeCell ref="B20:E20"/>
    <mergeCell ref="B21:E21"/>
    <mergeCell ref="B22:E22"/>
    <mergeCell ref="B23:E23"/>
    <mergeCell ref="B24:E24"/>
    <mergeCell ref="B18:E18"/>
    <mergeCell ref="B9:D9"/>
    <mergeCell ref="B10:D10"/>
    <mergeCell ref="B4:D4"/>
    <mergeCell ref="B12:E12"/>
    <mergeCell ref="B11:E11"/>
    <mergeCell ref="B13:E13"/>
    <mergeCell ref="B14:E14"/>
    <mergeCell ref="B15:E15"/>
    <mergeCell ref="B16:E16"/>
    <mergeCell ref="B17:E17"/>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topLeftCell="A20" zoomScale="120" zoomScaleNormal="120" workbookViewId="0">
      <selection activeCell="K29" sqref="K29"/>
    </sheetView>
  </sheetViews>
  <sheetFormatPr defaultRowHeight="23.25" customHeight="1" x14ac:dyDescent="0.25"/>
  <cols>
    <col min="1" max="1" width="4.28515625" customWidth="1"/>
    <col min="8" max="8" width="18.42578125" customWidth="1"/>
    <col min="9" max="9" width="6.5703125" customWidth="1"/>
  </cols>
  <sheetData>
    <row r="1" spans="1:8" ht="23.25" customHeight="1" x14ac:dyDescent="0.25">
      <c r="B1" s="2" t="s">
        <v>22</v>
      </c>
      <c r="C1" s="2"/>
      <c r="D1" s="2"/>
      <c r="E1" s="2"/>
    </row>
    <row r="2" spans="1:8" ht="23.25" customHeight="1" x14ac:dyDescent="0.25">
      <c r="A2" s="5">
        <v>1</v>
      </c>
      <c r="B2" s="77" t="s">
        <v>24</v>
      </c>
      <c r="C2" s="77"/>
      <c r="D2" s="77"/>
      <c r="E2" s="77"/>
      <c r="F2" s="77"/>
      <c r="G2" s="77"/>
      <c r="H2" s="60">
        <v>80000</v>
      </c>
    </row>
    <row r="3" spans="1:8" ht="23.25" customHeight="1" x14ac:dyDescent="0.25">
      <c r="A3" s="5">
        <v>2</v>
      </c>
      <c r="B3" s="77" t="s">
        <v>26</v>
      </c>
      <c r="C3" s="77"/>
      <c r="D3" s="77"/>
      <c r="E3" s="77"/>
      <c r="F3" s="77"/>
      <c r="G3" s="77"/>
      <c r="H3" s="10">
        <v>300</v>
      </c>
    </row>
    <row r="4" spans="1:8" ht="23.25" customHeight="1" x14ac:dyDescent="0.25">
      <c r="A4" s="5">
        <v>3</v>
      </c>
      <c r="B4" s="77" t="s">
        <v>27</v>
      </c>
      <c r="C4" s="77"/>
      <c r="D4" s="77"/>
      <c r="E4" s="77"/>
      <c r="F4" s="77"/>
      <c r="G4" s="77"/>
      <c r="H4" s="10">
        <v>60</v>
      </c>
    </row>
    <row r="5" spans="1:8" ht="23.25" customHeight="1" x14ac:dyDescent="0.25">
      <c r="A5" s="5">
        <v>4</v>
      </c>
      <c r="B5" s="77" t="s">
        <v>25</v>
      </c>
      <c r="C5" s="77"/>
      <c r="D5" s="77"/>
      <c r="E5" s="77"/>
      <c r="F5" s="77"/>
      <c r="G5" s="77"/>
      <c r="H5" s="32">
        <v>10</v>
      </c>
    </row>
    <row r="6" spans="1:8" ht="23.25" customHeight="1" x14ac:dyDescent="0.25">
      <c r="A6" s="5">
        <v>5</v>
      </c>
      <c r="B6" s="77" t="s">
        <v>28</v>
      </c>
      <c r="C6" s="77"/>
      <c r="D6" s="77"/>
      <c r="E6" s="77"/>
      <c r="F6" s="77"/>
      <c r="G6" s="77"/>
      <c r="H6" s="10">
        <v>12</v>
      </c>
    </row>
    <row r="7" spans="1:8" ht="23.25" customHeight="1" x14ac:dyDescent="0.25">
      <c r="A7" s="5">
        <v>6</v>
      </c>
      <c r="B7" s="77" t="s">
        <v>164</v>
      </c>
      <c r="C7" s="77"/>
      <c r="D7" s="77"/>
      <c r="E7" s="77"/>
      <c r="F7" s="77"/>
      <c r="G7" s="77"/>
      <c r="H7" s="32">
        <v>50</v>
      </c>
    </row>
    <row r="8" spans="1:8" ht="23.25" customHeight="1" x14ac:dyDescent="0.25">
      <c r="A8" s="5">
        <v>7</v>
      </c>
      <c r="B8" s="77" t="s">
        <v>29</v>
      </c>
      <c r="C8" s="77"/>
      <c r="D8" s="77"/>
      <c r="E8" s="77"/>
      <c r="F8" s="77"/>
      <c r="G8" s="77"/>
      <c r="H8" s="10">
        <v>2</v>
      </c>
    </row>
    <row r="9" spans="1:8" ht="23.25" customHeight="1" x14ac:dyDescent="0.25">
      <c r="A9" s="5">
        <v>8</v>
      </c>
      <c r="B9" s="77" t="s">
        <v>30</v>
      </c>
      <c r="C9" s="77"/>
      <c r="D9" s="77"/>
      <c r="E9" s="77"/>
      <c r="F9" s="77"/>
      <c r="G9" s="77"/>
      <c r="H9" s="32">
        <v>25</v>
      </c>
    </row>
    <row r="10" spans="1:8" ht="23.25" customHeight="1" x14ac:dyDescent="0.25">
      <c r="A10" s="5">
        <v>9</v>
      </c>
      <c r="B10" s="77" t="s">
        <v>31</v>
      </c>
      <c r="C10" s="77"/>
      <c r="D10" s="77"/>
      <c r="E10" s="77"/>
      <c r="F10" s="77"/>
      <c r="G10" s="77"/>
      <c r="H10" s="10">
        <v>1.5</v>
      </c>
    </row>
    <row r="11" spans="1:8" ht="23.25" customHeight="1" x14ac:dyDescent="0.25">
      <c r="A11" s="5">
        <v>10</v>
      </c>
      <c r="B11" s="77" t="s">
        <v>165</v>
      </c>
      <c r="C11" s="77"/>
      <c r="D11" s="77"/>
      <c r="E11" s="77"/>
      <c r="F11" s="77"/>
      <c r="G11" s="77"/>
      <c r="H11" s="10">
        <v>0.4</v>
      </c>
    </row>
    <row r="12" spans="1:8" ht="23.25" customHeight="1" x14ac:dyDescent="0.25">
      <c r="A12" s="5">
        <v>11</v>
      </c>
      <c r="B12" s="77" t="s">
        <v>32</v>
      </c>
      <c r="C12" s="77"/>
      <c r="D12" s="77"/>
      <c r="E12" s="77"/>
      <c r="F12" s="77"/>
      <c r="G12" s="77"/>
      <c r="H12" s="10">
        <v>1</v>
      </c>
    </row>
    <row r="13" spans="1:8" ht="23.25" customHeight="1" x14ac:dyDescent="0.25">
      <c r="A13" s="5">
        <v>12</v>
      </c>
      <c r="B13" s="77" t="s">
        <v>81</v>
      </c>
      <c r="C13" s="77"/>
      <c r="D13" s="77"/>
      <c r="E13" s="77"/>
      <c r="F13" s="77"/>
      <c r="G13" s="77"/>
      <c r="H13" s="10">
        <v>25</v>
      </c>
    </row>
    <row r="14" spans="1:8" ht="23.25" customHeight="1" x14ac:dyDescent="0.25">
      <c r="A14" s="5">
        <v>13</v>
      </c>
      <c r="B14" s="77" t="s">
        <v>82</v>
      </c>
      <c r="C14" s="77"/>
      <c r="D14" s="77"/>
      <c r="E14" s="77"/>
      <c r="F14" s="77"/>
      <c r="G14" s="77"/>
      <c r="H14" s="10">
        <v>5</v>
      </c>
    </row>
    <row r="15" spans="1:8" ht="23.25" customHeight="1" x14ac:dyDescent="0.25">
      <c r="A15" s="5">
        <v>14</v>
      </c>
      <c r="B15" s="77" t="s">
        <v>34</v>
      </c>
      <c r="C15" s="77"/>
      <c r="D15" s="77"/>
      <c r="E15" s="77"/>
      <c r="F15" s="77"/>
      <c r="G15" s="77"/>
      <c r="H15" s="32">
        <v>20000</v>
      </c>
    </row>
    <row r="16" spans="1:8" ht="23.25" customHeight="1" x14ac:dyDescent="0.25">
      <c r="A16" s="5">
        <v>15</v>
      </c>
      <c r="B16" s="77" t="s">
        <v>35</v>
      </c>
      <c r="C16" s="77"/>
      <c r="D16" s="77"/>
      <c r="E16" s="77"/>
      <c r="F16" s="77"/>
      <c r="G16" s="77"/>
      <c r="H16" s="32">
        <v>7200</v>
      </c>
    </row>
    <row r="17" spans="1:8" ht="23.25" customHeight="1" x14ac:dyDescent="0.25">
      <c r="A17" s="5">
        <v>16</v>
      </c>
      <c r="B17" s="77" t="s">
        <v>36</v>
      </c>
      <c r="C17" s="77"/>
      <c r="D17" s="77"/>
      <c r="E17" s="77"/>
      <c r="F17" s="77"/>
      <c r="G17" s="77"/>
      <c r="H17" s="10">
        <f>(overview!F17/10)</f>
        <v>10</v>
      </c>
    </row>
    <row r="18" spans="1:8" ht="23.25" customHeight="1" x14ac:dyDescent="0.25">
      <c r="A18" s="5">
        <v>17</v>
      </c>
      <c r="B18" s="77" t="s">
        <v>37</v>
      </c>
      <c r="C18" s="77"/>
      <c r="D18" s="77"/>
      <c r="E18" s="77"/>
      <c r="F18" s="77"/>
      <c r="G18" s="77"/>
      <c r="H18" s="10">
        <v>0</v>
      </c>
    </row>
    <row r="19" spans="1:8" ht="23.25" customHeight="1" x14ac:dyDescent="0.25">
      <c r="A19" s="5">
        <v>18</v>
      </c>
      <c r="B19" s="77" t="s">
        <v>166</v>
      </c>
      <c r="C19" s="77"/>
      <c r="D19" s="77"/>
      <c r="E19" s="77"/>
      <c r="F19" s="77"/>
      <c r="G19" s="77"/>
      <c r="H19" s="10">
        <v>0</v>
      </c>
    </row>
    <row r="20" spans="1:8" ht="23.25" customHeight="1" x14ac:dyDescent="0.25">
      <c r="A20" s="5">
        <v>19</v>
      </c>
      <c r="B20" s="77" t="s">
        <v>33</v>
      </c>
      <c r="C20" s="77"/>
      <c r="D20" s="77"/>
      <c r="E20" s="77"/>
      <c r="F20" s="77"/>
      <c r="G20" s="77"/>
      <c r="H20" s="32">
        <v>0</v>
      </c>
    </row>
    <row r="21" spans="1:8" ht="23.25" customHeight="1" x14ac:dyDescent="0.25">
      <c r="A21" s="5">
        <v>20</v>
      </c>
      <c r="B21" s="77" t="s">
        <v>38</v>
      </c>
      <c r="C21" s="77"/>
      <c r="D21" s="77"/>
      <c r="E21" s="77"/>
      <c r="F21" s="77"/>
      <c r="G21" s="77"/>
      <c r="H21" s="60">
        <v>0</v>
      </c>
    </row>
    <row r="22" spans="1:8" ht="23.25" customHeight="1" x14ac:dyDescent="0.25">
      <c r="A22" s="5">
        <v>21</v>
      </c>
      <c r="B22" s="77" t="s">
        <v>195</v>
      </c>
      <c r="C22" s="77"/>
      <c r="D22" s="77"/>
      <c r="E22" s="77"/>
      <c r="F22" s="77"/>
      <c r="G22" s="77"/>
      <c r="H22" s="10">
        <v>30</v>
      </c>
    </row>
    <row r="23" spans="1:8" ht="23.25" customHeight="1" x14ac:dyDescent="0.25">
      <c r="A23" s="5">
        <v>22</v>
      </c>
      <c r="B23" s="77" t="s">
        <v>39</v>
      </c>
      <c r="C23" s="77"/>
      <c r="D23" s="77"/>
      <c r="E23" s="77"/>
      <c r="F23" s="77"/>
      <c r="G23" s="77"/>
      <c r="H23" s="60">
        <v>100</v>
      </c>
    </row>
    <row r="24" spans="1:8" ht="23.25" customHeight="1" x14ac:dyDescent="0.25">
      <c r="A24" s="5">
        <v>23</v>
      </c>
      <c r="B24" s="77" t="s">
        <v>40</v>
      </c>
      <c r="C24" s="77"/>
      <c r="D24" s="77"/>
      <c r="E24" s="77"/>
      <c r="F24" s="77"/>
      <c r="G24" s="77"/>
      <c r="H24" s="10">
        <v>500</v>
      </c>
    </row>
    <row r="25" spans="1:8" ht="23.25" customHeight="1" x14ac:dyDescent="0.25">
      <c r="A25" s="5">
        <v>24</v>
      </c>
      <c r="B25" s="77" t="s">
        <v>41</v>
      </c>
      <c r="C25" s="77"/>
      <c r="D25" s="77"/>
      <c r="E25" s="77"/>
      <c r="F25" s="77"/>
      <c r="G25" s="77"/>
      <c r="H25" s="60">
        <v>30000</v>
      </c>
    </row>
    <row r="26" spans="1:8" ht="23.25" customHeight="1" x14ac:dyDescent="0.25">
      <c r="A26" s="5">
        <v>25</v>
      </c>
      <c r="B26" s="77" t="s">
        <v>42</v>
      </c>
      <c r="C26" s="77"/>
      <c r="D26" s="77"/>
      <c r="E26" s="77"/>
      <c r="F26" s="77"/>
      <c r="G26" s="77"/>
      <c r="H26" s="60">
        <v>40000</v>
      </c>
    </row>
    <row r="27" spans="1:8" ht="23.25" customHeight="1" x14ac:dyDescent="0.25">
      <c r="A27" s="5">
        <v>26</v>
      </c>
      <c r="B27" s="77" t="s">
        <v>43</v>
      </c>
      <c r="C27" s="77"/>
      <c r="D27" s="77"/>
      <c r="E27" s="77"/>
      <c r="F27" s="77"/>
      <c r="G27" s="77"/>
      <c r="H27" s="10">
        <v>5000</v>
      </c>
    </row>
    <row r="28" spans="1:8" ht="23.25" customHeight="1" x14ac:dyDescent="0.25">
      <c r="A28" s="5">
        <v>27</v>
      </c>
      <c r="B28" s="77" t="s">
        <v>44</v>
      </c>
      <c r="C28" s="77"/>
      <c r="D28" s="77"/>
      <c r="E28" s="77"/>
      <c r="F28" s="77"/>
      <c r="G28" s="77"/>
      <c r="H28" s="10">
        <v>8000</v>
      </c>
    </row>
    <row r="29" spans="1:8" ht="23.25" customHeight="1" x14ac:dyDescent="0.25">
      <c r="A29" s="5">
        <v>28</v>
      </c>
      <c r="B29" s="77" t="s">
        <v>167</v>
      </c>
      <c r="C29" s="77"/>
      <c r="D29" s="77"/>
      <c r="E29" s="77"/>
      <c r="F29" s="77"/>
      <c r="G29" s="77"/>
      <c r="H29" s="32">
        <v>4</v>
      </c>
    </row>
    <row r="30" spans="1:8" ht="23.25" customHeight="1" x14ac:dyDescent="0.25">
      <c r="A30" s="5">
        <v>29</v>
      </c>
      <c r="B30" s="77" t="s">
        <v>168</v>
      </c>
      <c r="C30" s="77"/>
      <c r="D30" s="77"/>
      <c r="E30" s="77"/>
      <c r="F30" s="77"/>
      <c r="G30" s="77"/>
      <c r="H30" s="60">
        <v>15000</v>
      </c>
    </row>
    <row r="31" spans="1:8" ht="23.25" customHeight="1" x14ac:dyDescent="0.25">
      <c r="A31" s="5">
        <v>30</v>
      </c>
      <c r="B31" s="77" t="s">
        <v>45</v>
      </c>
      <c r="C31" s="77"/>
      <c r="D31" s="77"/>
      <c r="E31" s="77"/>
      <c r="F31" s="77"/>
      <c r="G31" s="77"/>
      <c r="H31" s="60">
        <v>1000</v>
      </c>
    </row>
  </sheetData>
  <mergeCells count="30">
    <mergeCell ref="B31:G31"/>
    <mergeCell ref="B20:G20"/>
    <mergeCell ref="B21:G21"/>
    <mergeCell ref="B22:G22"/>
    <mergeCell ref="B23:G23"/>
    <mergeCell ref="B24:G24"/>
    <mergeCell ref="B25:G25"/>
    <mergeCell ref="B26:G26"/>
    <mergeCell ref="B27:G27"/>
    <mergeCell ref="B28:G28"/>
    <mergeCell ref="B29:G29"/>
    <mergeCell ref="B30:G30"/>
    <mergeCell ref="B19:G19"/>
    <mergeCell ref="B8:G8"/>
    <mergeCell ref="B9:G9"/>
    <mergeCell ref="B13:G13"/>
    <mergeCell ref="B10:G10"/>
    <mergeCell ref="B11:G11"/>
    <mergeCell ref="B12:G12"/>
    <mergeCell ref="B14:G14"/>
    <mergeCell ref="B15:G15"/>
    <mergeCell ref="B16:G16"/>
    <mergeCell ref="B17:G17"/>
    <mergeCell ref="B18:G18"/>
    <mergeCell ref="B7:G7"/>
    <mergeCell ref="B2:G2"/>
    <mergeCell ref="B3:G3"/>
    <mergeCell ref="B4:G4"/>
    <mergeCell ref="B5:G5"/>
    <mergeCell ref="B6:G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36"/>
  <sheetViews>
    <sheetView zoomScale="120" zoomScaleNormal="120" workbookViewId="0">
      <selection activeCell="I6" sqref="I6"/>
    </sheetView>
  </sheetViews>
  <sheetFormatPr defaultRowHeight="24" customHeight="1" x14ac:dyDescent="0.25"/>
  <cols>
    <col min="1" max="1" width="4.42578125" customWidth="1"/>
    <col min="8" max="8" width="18.140625" customWidth="1"/>
  </cols>
  <sheetData>
    <row r="2" spans="1:8" ht="24" customHeight="1" x14ac:dyDescent="0.25">
      <c r="A2" s="5">
        <v>31</v>
      </c>
      <c r="B2" s="77" t="s">
        <v>46</v>
      </c>
      <c r="C2" s="77"/>
      <c r="D2" s="77"/>
      <c r="E2" s="77"/>
      <c r="F2" s="77"/>
      <c r="G2" s="77"/>
      <c r="H2" s="10">
        <v>42</v>
      </c>
    </row>
    <row r="3" spans="1:8" ht="24" customHeight="1" x14ac:dyDescent="0.25">
      <c r="A3" s="5">
        <v>32</v>
      </c>
      <c r="B3" s="77" t="s">
        <v>48</v>
      </c>
      <c r="C3" s="77"/>
      <c r="D3" s="77"/>
      <c r="E3" s="77"/>
      <c r="F3" s="77"/>
      <c r="G3" s="77"/>
      <c r="H3" s="10">
        <v>20</v>
      </c>
    </row>
    <row r="4" spans="1:8" ht="24" customHeight="1" x14ac:dyDescent="0.25">
      <c r="A4" s="5">
        <v>33</v>
      </c>
      <c r="B4" s="77" t="s">
        <v>47</v>
      </c>
      <c r="C4" s="77"/>
      <c r="D4" s="77"/>
      <c r="E4" s="77"/>
      <c r="F4" s="77"/>
      <c r="G4" s="77"/>
      <c r="H4" s="10">
        <v>84</v>
      </c>
    </row>
    <row r="5" spans="1:8" ht="24" customHeight="1" x14ac:dyDescent="0.25">
      <c r="A5" s="5">
        <v>34</v>
      </c>
      <c r="B5" s="77" t="s">
        <v>49</v>
      </c>
      <c r="C5" s="77"/>
      <c r="D5" s="77"/>
      <c r="E5" s="77"/>
      <c r="F5" s="77"/>
      <c r="G5" s="77"/>
      <c r="H5" s="10">
        <v>40</v>
      </c>
    </row>
    <row r="6" spans="1:8" ht="24" customHeight="1" x14ac:dyDescent="0.25">
      <c r="A6" s="5">
        <v>35</v>
      </c>
      <c r="B6" s="77" t="s">
        <v>50</v>
      </c>
      <c r="C6" s="77"/>
      <c r="D6" s="77"/>
      <c r="E6" s="77"/>
      <c r="F6" s="77"/>
      <c r="G6" s="77"/>
      <c r="H6" s="60">
        <v>300</v>
      </c>
    </row>
    <row r="7" spans="1:8" ht="24" customHeight="1" x14ac:dyDescent="0.25">
      <c r="A7" s="5">
        <v>36</v>
      </c>
      <c r="B7" s="77" t="s">
        <v>52</v>
      </c>
      <c r="C7" s="77"/>
      <c r="D7" s="77"/>
      <c r="E7" s="77"/>
      <c r="F7" s="77"/>
      <c r="G7" s="77"/>
      <c r="H7" s="60">
        <v>1000</v>
      </c>
    </row>
    <row r="8" spans="1:8" ht="24" customHeight="1" x14ac:dyDescent="0.25">
      <c r="A8" s="5">
        <v>37</v>
      </c>
      <c r="B8" s="77" t="s">
        <v>51</v>
      </c>
      <c r="C8" s="77"/>
      <c r="D8" s="77"/>
      <c r="E8" s="77"/>
      <c r="F8" s="77"/>
      <c r="G8" s="77"/>
      <c r="H8" s="60">
        <v>1000</v>
      </c>
    </row>
    <row r="9" spans="1:8" ht="24" customHeight="1" x14ac:dyDescent="0.25">
      <c r="A9" s="5">
        <v>38</v>
      </c>
      <c r="B9" s="77" t="s">
        <v>53</v>
      </c>
      <c r="C9" s="77"/>
      <c r="D9" s="77"/>
      <c r="E9" s="77"/>
      <c r="F9" s="77"/>
      <c r="G9" s="77"/>
      <c r="H9" s="60">
        <v>2000</v>
      </c>
    </row>
    <row r="10" spans="1:8" ht="24" customHeight="1" x14ac:dyDescent="0.25">
      <c r="A10" s="5">
        <v>39</v>
      </c>
      <c r="B10" s="77" t="s">
        <v>54</v>
      </c>
      <c r="C10" s="77"/>
      <c r="D10" s="77"/>
      <c r="E10" s="77"/>
      <c r="F10" s="77"/>
      <c r="G10" s="77"/>
      <c r="H10" s="61">
        <v>0.03</v>
      </c>
    </row>
    <row r="11" spans="1:8" ht="24" customHeight="1" x14ac:dyDescent="0.25">
      <c r="A11" s="5">
        <v>40</v>
      </c>
      <c r="B11" s="77" t="s">
        <v>169</v>
      </c>
      <c r="C11" s="77"/>
      <c r="D11" s="77"/>
      <c r="E11" s="77"/>
      <c r="F11" s="77"/>
      <c r="G11" s="77"/>
      <c r="H11" s="11">
        <v>0.1</v>
      </c>
    </row>
    <row r="12" spans="1:8" ht="24" customHeight="1" x14ac:dyDescent="0.25">
      <c r="A12" s="5">
        <v>41</v>
      </c>
      <c r="B12" s="77" t="s">
        <v>107</v>
      </c>
      <c r="C12" s="77"/>
      <c r="D12" s="77"/>
      <c r="E12" s="77"/>
      <c r="F12" s="77"/>
      <c r="G12" s="77"/>
      <c r="H12" s="11">
        <v>0.05</v>
      </c>
    </row>
    <row r="13" spans="1:8" ht="24" customHeight="1" x14ac:dyDescent="0.25">
      <c r="A13" s="5">
        <v>42</v>
      </c>
      <c r="B13" s="77" t="s">
        <v>55</v>
      </c>
      <c r="C13" s="77"/>
      <c r="D13" s="77"/>
      <c r="E13" s="77"/>
      <c r="F13" s="77"/>
      <c r="G13" s="77"/>
      <c r="H13" s="11">
        <v>0.05</v>
      </c>
    </row>
    <row r="14" spans="1:8" ht="24" customHeight="1" x14ac:dyDescent="0.25">
      <c r="A14" s="5">
        <v>43</v>
      </c>
      <c r="B14" s="77" t="s">
        <v>56</v>
      </c>
      <c r="C14" s="77"/>
      <c r="D14" s="77"/>
      <c r="E14" s="77"/>
      <c r="F14" s="77"/>
      <c r="G14" s="77"/>
      <c r="H14" s="11">
        <v>0.5</v>
      </c>
    </row>
    <row r="15" spans="1:8" ht="24" customHeight="1" x14ac:dyDescent="0.25">
      <c r="A15" s="5">
        <v>44</v>
      </c>
      <c r="B15" s="77" t="s">
        <v>57</v>
      </c>
      <c r="C15" s="77"/>
      <c r="D15" s="77"/>
      <c r="E15" s="77"/>
      <c r="F15" s="77"/>
      <c r="G15" s="77"/>
      <c r="H15" s="61">
        <v>0.9</v>
      </c>
    </row>
    <row r="16" spans="1:8" ht="24" customHeight="1" x14ac:dyDescent="0.25">
      <c r="A16" s="5">
        <v>45</v>
      </c>
      <c r="B16" s="77" t="s">
        <v>58</v>
      </c>
      <c r="C16" s="77"/>
      <c r="D16" s="77"/>
      <c r="E16" s="77"/>
      <c r="F16" s="77"/>
      <c r="G16" s="77"/>
      <c r="H16" s="11">
        <v>0.1</v>
      </c>
    </row>
    <row r="17" spans="1:8" ht="24" customHeight="1" x14ac:dyDescent="0.25">
      <c r="A17" s="5">
        <v>46</v>
      </c>
      <c r="B17" s="77" t="s">
        <v>196</v>
      </c>
      <c r="C17" s="77"/>
      <c r="D17" s="77"/>
      <c r="E17" s="77"/>
      <c r="F17" s="77"/>
      <c r="G17" s="77"/>
      <c r="H17" s="17">
        <v>0.41736111111111113</v>
      </c>
    </row>
    <row r="18" spans="1:8" ht="24" customHeight="1" x14ac:dyDescent="0.25">
      <c r="A18" s="6">
        <v>47</v>
      </c>
      <c r="B18" s="77" t="s">
        <v>132</v>
      </c>
      <c r="C18" s="77"/>
      <c r="D18" s="77"/>
      <c r="E18" s="77"/>
      <c r="F18" s="77"/>
      <c r="G18" s="77"/>
      <c r="H18" s="33">
        <v>0</v>
      </c>
    </row>
    <row r="19" spans="1:8" ht="24" customHeight="1" x14ac:dyDescent="0.25">
      <c r="A19" s="6">
        <v>48</v>
      </c>
      <c r="B19" s="77" t="s">
        <v>133</v>
      </c>
      <c r="C19" s="77"/>
      <c r="D19" s="77"/>
      <c r="E19" s="77"/>
      <c r="F19" s="77"/>
      <c r="G19" s="77"/>
      <c r="H19" s="16">
        <v>50</v>
      </c>
    </row>
    <row r="20" spans="1:8" ht="24" customHeight="1" x14ac:dyDescent="0.25">
      <c r="A20" s="6">
        <v>49</v>
      </c>
      <c r="B20" s="77" t="s">
        <v>184</v>
      </c>
      <c r="C20" s="77"/>
      <c r="D20" s="77"/>
      <c r="E20" s="77"/>
      <c r="F20" s="77"/>
      <c r="G20" s="77"/>
      <c r="H20" s="16">
        <v>10</v>
      </c>
    </row>
    <row r="21" spans="1:8" ht="24" customHeight="1" x14ac:dyDescent="0.25">
      <c r="A21" s="6">
        <v>50</v>
      </c>
      <c r="B21" s="77" t="s">
        <v>170</v>
      </c>
      <c r="C21" s="77"/>
      <c r="D21" s="77"/>
      <c r="E21" s="77"/>
      <c r="F21" s="77"/>
      <c r="G21" s="77"/>
      <c r="H21" s="11">
        <v>0.1</v>
      </c>
    </row>
    <row r="22" spans="1:8" ht="24" customHeight="1" x14ac:dyDescent="0.25">
      <c r="A22" s="6">
        <v>51</v>
      </c>
      <c r="B22" s="77" t="s">
        <v>171</v>
      </c>
      <c r="C22" s="77"/>
      <c r="D22" s="77"/>
      <c r="E22" s="77"/>
      <c r="F22" s="77"/>
      <c r="G22" s="77"/>
      <c r="H22" s="11">
        <v>0.15</v>
      </c>
    </row>
    <row r="23" spans="1:8" ht="24" customHeight="1" x14ac:dyDescent="0.25">
      <c r="A23" s="6">
        <v>52</v>
      </c>
      <c r="B23" s="77" t="s">
        <v>172</v>
      </c>
      <c r="C23" s="77"/>
      <c r="D23" s="77"/>
      <c r="E23" s="77"/>
      <c r="F23" s="77"/>
      <c r="G23" s="77"/>
      <c r="H23" s="61">
        <v>0</v>
      </c>
    </row>
    <row r="25" spans="1:8" ht="24" customHeight="1" x14ac:dyDescent="0.25">
      <c r="B25" s="92" t="s">
        <v>173</v>
      </c>
      <c r="C25" s="93"/>
      <c r="D25" s="93"/>
      <c r="E25" s="93"/>
      <c r="F25" s="93"/>
      <c r="G25" s="93"/>
      <c r="H25" s="94"/>
    </row>
    <row r="26" spans="1:8" ht="24" customHeight="1" x14ac:dyDescent="0.25">
      <c r="B26" s="95"/>
      <c r="C26" s="96"/>
      <c r="D26" s="96"/>
      <c r="E26" s="96"/>
      <c r="F26" s="96"/>
      <c r="G26" s="96"/>
      <c r="H26" s="97"/>
    </row>
    <row r="27" spans="1:8" ht="24" customHeight="1" x14ac:dyDescent="0.25">
      <c r="B27" s="95"/>
      <c r="C27" s="96"/>
      <c r="D27" s="96"/>
      <c r="E27" s="96"/>
      <c r="F27" s="96"/>
      <c r="G27" s="96"/>
      <c r="H27" s="97"/>
    </row>
    <row r="28" spans="1:8" ht="24" customHeight="1" x14ac:dyDescent="0.25">
      <c r="B28" s="95"/>
      <c r="C28" s="96"/>
      <c r="D28" s="96"/>
      <c r="E28" s="96"/>
      <c r="F28" s="96"/>
      <c r="G28" s="96"/>
      <c r="H28" s="97"/>
    </row>
    <row r="29" spans="1:8" ht="24" customHeight="1" x14ac:dyDescent="0.25">
      <c r="B29" s="98"/>
      <c r="C29" s="99"/>
      <c r="D29" s="99"/>
      <c r="E29" s="99"/>
      <c r="F29" s="99"/>
      <c r="G29" s="99"/>
      <c r="H29" s="100"/>
    </row>
    <row r="30" spans="1:8" ht="24" customHeight="1" x14ac:dyDescent="0.25">
      <c r="B30" s="20"/>
      <c r="C30" s="20"/>
      <c r="D30" s="20"/>
      <c r="E30" s="20"/>
      <c r="F30" s="20"/>
      <c r="G30" s="20"/>
      <c r="H30" s="20"/>
    </row>
    <row r="31" spans="1:8" ht="24" customHeight="1" x14ac:dyDescent="0.25">
      <c r="B31" s="20"/>
      <c r="C31" s="20"/>
      <c r="D31" s="20"/>
      <c r="E31" s="20"/>
      <c r="F31" s="20"/>
      <c r="G31" s="20"/>
      <c r="H31" s="20"/>
    </row>
    <row r="32" spans="1:8" ht="24" customHeight="1" x14ac:dyDescent="0.25">
      <c r="B32" s="20"/>
      <c r="C32" s="20"/>
      <c r="D32" s="20"/>
      <c r="E32" s="20"/>
      <c r="F32" s="20"/>
      <c r="G32" s="20"/>
      <c r="H32" s="20"/>
    </row>
    <row r="33" spans="2:8" ht="24" customHeight="1" x14ac:dyDescent="0.25">
      <c r="B33" s="20"/>
      <c r="C33" s="20"/>
      <c r="D33" s="20"/>
      <c r="E33" s="20"/>
      <c r="F33" s="20"/>
      <c r="G33" s="20"/>
      <c r="H33" s="20"/>
    </row>
    <row r="34" spans="2:8" ht="24" customHeight="1" x14ac:dyDescent="0.25">
      <c r="B34" s="20"/>
      <c r="C34" s="20"/>
      <c r="D34" s="20"/>
      <c r="E34" s="20"/>
      <c r="F34" s="20"/>
      <c r="G34" s="20"/>
      <c r="H34" s="20"/>
    </row>
    <row r="35" spans="2:8" ht="24" customHeight="1" x14ac:dyDescent="0.25">
      <c r="B35" s="20"/>
      <c r="C35" s="20"/>
      <c r="D35" s="20"/>
      <c r="E35" s="20"/>
      <c r="F35" s="20"/>
      <c r="G35" s="20"/>
      <c r="H35" s="20"/>
    </row>
    <row r="36" spans="2:8" ht="24" customHeight="1" x14ac:dyDescent="0.25">
      <c r="B36" s="20"/>
      <c r="C36" s="20"/>
      <c r="D36" s="20"/>
      <c r="E36" s="20"/>
      <c r="F36" s="20"/>
      <c r="G36" s="20"/>
      <c r="H36" s="20"/>
    </row>
  </sheetData>
  <mergeCells count="23">
    <mergeCell ref="B25:H29"/>
    <mergeCell ref="B12:G12"/>
    <mergeCell ref="B15:G15"/>
    <mergeCell ref="B16:G16"/>
    <mergeCell ref="B14:G14"/>
    <mergeCell ref="B22:G22"/>
    <mergeCell ref="B23:G23"/>
    <mergeCell ref="B2:G2"/>
    <mergeCell ref="B3:G3"/>
    <mergeCell ref="B4:G4"/>
    <mergeCell ref="B5:G5"/>
    <mergeCell ref="B6:G6"/>
    <mergeCell ref="B7:G7"/>
    <mergeCell ref="B18:G18"/>
    <mergeCell ref="B19:G19"/>
    <mergeCell ref="B20:G20"/>
    <mergeCell ref="B21:G21"/>
    <mergeCell ref="B8:G8"/>
    <mergeCell ref="B9:G9"/>
    <mergeCell ref="B10:G10"/>
    <mergeCell ref="B11:G11"/>
    <mergeCell ref="B13:G13"/>
    <mergeCell ref="B17:G1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4" zoomScale="130" zoomScaleNormal="130" workbookViewId="0">
      <selection activeCell="H10" sqref="H10"/>
    </sheetView>
  </sheetViews>
  <sheetFormatPr defaultRowHeight="29.25" customHeight="1" x14ac:dyDescent="0.25"/>
  <cols>
    <col min="1" max="1" width="5" customWidth="1"/>
    <col min="5" max="5" width="9.85546875" customWidth="1"/>
    <col min="6" max="6" width="11.85546875" customWidth="1"/>
    <col min="7" max="7" width="13" customWidth="1"/>
    <col min="8" max="8" width="11.28515625" customWidth="1"/>
  </cols>
  <sheetData>
    <row r="1" spans="1:8" ht="10.5" customHeight="1" x14ac:dyDescent="0.25"/>
    <row r="2" spans="1:8" ht="29.25" customHeight="1" x14ac:dyDescent="0.25">
      <c r="B2" s="79" t="s">
        <v>59</v>
      </c>
      <c r="C2" s="79"/>
      <c r="D2" s="79"/>
      <c r="E2" s="79"/>
    </row>
    <row r="3" spans="1:8" ht="29.25" customHeight="1" x14ac:dyDescent="0.25">
      <c r="A3" s="12"/>
      <c r="B3" s="77" t="s">
        <v>77</v>
      </c>
      <c r="C3" s="77"/>
      <c r="D3" s="77"/>
      <c r="E3" s="77"/>
      <c r="F3" s="10" t="s">
        <v>78</v>
      </c>
      <c r="G3" s="10" t="s">
        <v>79</v>
      </c>
      <c r="H3" s="10" t="s">
        <v>80</v>
      </c>
    </row>
    <row r="4" spans="1:8" ht="29.25" customHeight="1" x14ac:dyDescent="0.25">
      <c r="A4" s="14">
        <v>1</v>
      </c>
      <c r="B4" s="77" t="s">
        <v>60</v>
      </c>
      <c r="C4" s="77"/>
      <c r="D4" s="77"/>
      <c r="E4" s="77"/>
      <c r="F4" s="10">
        <f>'tep-1'!H2</f>
        <v>80000</v>
      </c>
      <c r="G4" s="10">
        <f>overview!F17</f>
        <v>100</v>
      </c>
      <c r="H4" s="10">
        <f>(F4*G4)</f>
        <v>8000000</v>
      </c>
    </row>
    <row r="5" spans="1:8" ht="29.25" customHeight="1" x14ac:dyDescent="0.25">
      <c r="A5" s="14">
        <v>2</v>
      </c>
      <c r="B5" s="77" t="s">
        <v>61</v>
      </c>
      <c r="C5" s="77"/>
      <c r="D5" s="77"/>
      <c r="E5" s="77"/>
      <c r="F5" s="11">
        <f>'tep-2'!H13</f>
        <v>0.05</v>
      </c>
      <c r="G5" s="10">
        <f>H4</f>
        <v>8000000</v>
      </c>
      <c r="H5" s="10">
        <f>(F5*G5)</f>
        <v>400000</v>
      </c>
    </row>
    <row r="6" spans="1:8" ht="29.25" customHeight="1" x14ac:dyDescent="0.25">
      <c r="A6" s="14">
        <v>3</v>
      </c>
      <c r="B6" s="77" t="s">
        <v>62</v>
      </c>
      <c r="C6" s="77"/>
      <c r="D6" s="77"/>
      <c r="E6" s="77"/>
      <c r="F6" s="10">
        <f>'tep-2'!H6</f>
        <v>300</v>
      </c>
      <c r="G6" s="10">
        <f>(overview!F17*'tep-2'!H2)</f>
        <v>4200</v>
      </c>
      <c r="H6" s="10">
        <f>(F6*G6)</f>
        <v>1260000</v>
      </c>
    </row>
    <row r="7" spans="1:8" ht="29.25" customHeight="1" x14ac:dyDescent="0.25">
      <c r="A7" s="14">
        <v>4</v>
      </c>
      <c r="B7" s="103" t="s">
        <v>83</v>
      </c>
      <c r="C7" s="104"/>
      <c r="D7" s="104"/>
      <c r="E7" s="105"/>
      <c r="F7" s="10">
        <f>'tep-2'!H6</f>
        <v>300</v>
      </c>
      <c r="G7" s="10">
        <f>(overview!F17*'tep-2'!H3)</f>
        <v>2000</v>
      </c>
      <c r="H7" s="10">
        <f>(F7*G7)</f>
        <v>600000</v>
      </c>
    </row>
    <row r="8" spans="1:8" ht="29.25" customHeight="1" x14ac:dyDescent="0.25">
      <c r="A8" s="14">
        <v>5</v>
      </c>
      <c r="B8" s="77" t="s">
        <v>63</v>
      </c>
      <c r="C8" s="77"/>
      <c r="D8" s="77"/>
      <c r="E8" s="77"/>
      <c r="F8" s="10">
        <f>'tep-1'!H24</f>
        <v>500</v>
      </c>
      <c r="G8" s="10">
        <f>G4</f>
        <v>100</v>
      </c>
      <c r="H8" s="10">
        <f>(F8*G8)</f>
        <v>50000</v>
      </c>
    </row>
    <row r="9" spans="1:8" ht="29.25" customHeight="1" x14ac:dyDescent="0.25">
      <c r="A9" s="14">
        <v>6</v>
      </c>
      <c r="B9" s="77" t="s">
        <v>64</v>
      </c>
      <c r="C9" s="77"/>
      <c r="D9" s="77"/>
      <c r="E9" s="77"/>
      <c r="F9" s="10">
        <f>'tep-1'!H25</f>
        <v>30000</v>
      </c>
      <c r="G9" s="32">
        <v>4</v>
      </c>
      <c r="H9" s="10">
        <f t="shared" ref="H9:H10" si="0">(F9*G9)</f>
        <v>120000</v>
      </c>
    </row>
    <row r="10" spans="1:8" ht="29.25" customHeight="1" x14ac:dyDescent="0.25">
      <c r="A10" s="14">
        <v>7</v>
      </c>
      <c r="B10" s="77" t="s">
        <v>65</v>
      </c>
      <c r="C10" s="77"/>
      <c r="D10" s="77"/>
      <c r="E10" s="77"/>
      <c r="F10" s="10">
        <f>'tep-1'!H26</f>
        <v>40000</v>
      </c>
      <c r="G10" s="32">
        <v>4</v>
      </c>
      <c r="H10" s="10">
        <f t="shared" si="0"/>
        <v>160000</v>
      </c>
    </row>
    <row r="11" spans="1:8" ht="29.25" customHeight="1" x14ac:dyDescent="0.25">
      <c r="A11" s="12"/>
      <c r="B11" s="102" t="s">
        <v>75</v>
      </c>
      <c r="C11" s="102"/>
      <c r="D11" s="102"/>
      <c r="E11" s="102"/>
      <c r="F11" s="10"/>
      <c r="G11" s="10"/>
      <c r="H11" s="18">
        <f>SUM(H4:H10)</f>
        <v>10590000</v>
      </c>
    </row>
    <row r="12" spans="1:8" ht="14.25" customHeight="1" x14ac:dyDescent="0.25"/>
    <row r="13" spans="1:8" ht="29.25" customHeight="1" x14ac:dyDescent="0.25">
      <c r="B13" s="2" t="s">
        <v>66</v>
      </c>
    </row>
    <row r="14" spans="1:8" ht="29.25" customHeight="1" x14ac:dyDescent="0.25">
      <c r="A14" s="12"/>
      <c r="B14" s="101" t="s">
        <v>77</v>
      </c>
      <c r="C14" s="101"/>
      <c r="D14" s="101"/>
      <c r="E14" s="101"/>
      <c r="F14" s="10" t="s">
        <v>78</v>
      </c>
      <c r="G14" s="10" t="s">
        <v>79</v>
      </c>
      <c r="H14" s="10" t="s">
        <v>80</v>
      </c>
    </row>
    <row r="15" spans="1:8" ht="29.25" customHeight="1" x14ac:dyDescent="0.25">
      <c r="A15" s="14">
        <v>1</v>
      </c>
      <c r="B15" s="77" t="s">
        <v>67</v>
      </c>
      <c r="C15" s="77"/>
      <c r="D15" s="77"/>
      <c r="E15" s="77"/>
      <c r="F15" s="10">
        <f>'tep-1'!H15</f>
        <v>20000</v>
      </c>
      <c r="G15" s="10">
        <f>'tep-1'!H17</f>
        <v>10</v>
      </c>
      <c r="H15" s="10">
        <f>(F15*G15)</f>
        <v>200000</v>
      </c>
    </row>
    <row r="16" spans="1:8" ht="29.25" customHeight="1" x14ac:dyDescent="0.25">
      <c r="A16" s="15">
        <v>2</v>
      </c>
      <c r="B16" s="77" t="s">
        <v>68</v>
      </c>
      <c r="C16" s="77"/>
      <c r="D16" s="77"/>
      <c r="E16" s="77"/>
      <c r="F16" s="10">
        <f>'tep-1'!H9</f>
        <v>25</v>
      </c>
      <c r="G16" s="10">
        <f>(overview!F17*3.81*365)</f>
        <v>139065</v>
      </c>
      <c r="H16" s="10">
        <f t="shared" ref="H16:H22" si="1">(F16*G16)</f>
        <v>3476625</v>
      </c>
    </row>
    <row r="17" spans="1:8" ht="29.25" customHeight="1" x14ac:dyDescent="0.25">
      <c r="A17" s="14">
        <v>3</v>
      </c>
      <c r="B17" s="77" t="s">
        <v>69</v>
      </c>
      <c r="C17" s="77"/>
      <c r="D17" s="77"/>
      <c r="E17" s="77"/>
      <c r="F17" s="10">
        <f>'tep-1'!H16</f>
        <v>7200</v>
      </c>
      <c r="G17" s="10">
        <f>(overview!F17*'tep-1'!H14*365)/1000</f>
        <v>182.5</v>
      </c>
      <c r="H17" s="10">
        <f t="shared" si="1"/>
        <v>1314000</v>
      </c>
    </row>
    <row r="18" spans="1:8" ht="29.25" customHeight="1" x14ac:dyDescent="0.25">
      <c r="A18" s="15">
        <v>4</v>
      </c>
      <c r="B18" s="77" t="s">
        <v>70</v>
      </c>
      <c r="C18" s="77"/>
      <c r="D18" s="77"/>
      <c r="E18" s="77"/>
      <c r="F18" s="10">
        <f>'tep-1'!H20</f>
        <v>0</v>
      </c>
      <c r="G18" s="10">
        <f>(overview!F17*'tep-1'!H18*365)+(overview!F17*'tep-1'!H19*365)</f>
        <v>0</v>
      </c>
      <c r="H18" s="10">
        <f t="shared" si="1"/>
        <v>0</v>
      </c>
    </row>
    <row r="19" spans="1:8" ht="29.25" customHeight="1" x14ac:dyDescent="0.25">
      <c r="A19" s="14">
        <v>5</v>
      </c>
      <c r="B19" s="77" t="s">
        <v>71</v>
      </c>
      <c r="C19" s="77"/>
      <c r="D19" s="77"/>
      <c r="E19" s="77"/>
      <c r="F19" s="10">
        <f>(overview!F17*'tep-1'!H22)</f>
        <v>3000</v>
      </c>
      <c r="G19" s="10">
        <f>'tep-1'!H23</f>
        <v>100</v>
      </c>
      <c r="H19" s="10">
        <f t="shared" si="1"/>
        <v>300000</v>
      </c>
    </row>
    <row r="20" spans="1:8" ht="29.25" customHeight="1" x14ac:dyDescent="0.25">
      <c r="A20" s="15">
        <v>6</v>
      </c>
      <c r="B20" s="77" t="s">
        <v>72</v>
      </c>
      <c r="C20" s="77"/>
      <c r="D20" s="77"/>
      <c r="E20" s="77"/>
      <c r="F20" s="10">
        <f>'tep-2'!H7</f>
        <v>1000</v>
      </c>
      <c r="G20" s="10">
        <f>G4</f>
        <v>100</v>
      </c>
      <c r="H20" s="10">
        <f t="shared" si="1"/>
        <v>100000</v>
      </c>
    </row>
    <row r="21" spans="1:8" ht="29.25" customHeight="1" x14ac:dyDescent="0.25">
      <c r="A21" s="14">
        <v>7</v>
      </c>
      <c r="B21" s="77" t="s">
        <v>73</v>
      </c>
      <c r="C21" s="77"/>
      <c r="D21" s="77"/>
      <c r="E21" s="77"/>
      <c r="F21" s="10">
        <f>'tep-2'!H8</f>
        <v>1000</v>
      </c>
      <c r="G21" s="10">
        <f>G20</f>
        <v>100</v>
      </c>
      <c r="H21" s="10">
        <f t="shared" si="1"/>
        <v>100000</v>
      </c>
    </row>
    <row r="22" spans="1:8" ht="29.25" customHeight="1" x14ac:dyDescent="0.25">
      <c r="A22" s="15">
        <v>8</v>
      </c>
      <c r="B22" s="77" t="s">
        <v>74</v>
      </c>
      <c r="C22" s="77"/>
      <c r="D22" s="77"/>
      <c r="E22" s="77"/>
      <c r="F22" s="10">
        <f>'tep-2'!H9</f>
        <v>2000</v>
      </c>
      <c r="G22" s="10">
        <f>G21</f>
        <v>100</v>
      </c>
      <c r="H22" s="10">
        <f t="shared" si="1"/>
        <v>200000</v>
      </c>
    </row>
    <row r="23" spans="1:8" ht="29.25" customHeight="1" x14ac:dyDescent="0.25">
      <c r="A23" s="14">
        <v>9</v>
      </c>
      <c r="B23" s="77" t="s">
        <v>174</v>
      </c>
      <c r="C23" s="77"/>
      <c r="D23" s="77"/>
      <c r="E23" s="77"/>
      <c r="F23" s="10">
        <f>'tep-1'!H30</f>
        <v>15000</v>
      </c>
      <c r="G23" s="10">
        <f>'tep-1'!H29</f>
        <v>4</v>
      </c>
      <c r="H23" s="10">
        <f>F23*G23*12</f>
        <v>720000</v>
      </c>
    </row>
    <row r="24" spans="1:8" ht="29.25" customHeight="1" x14ac:dyDescent="0.25">
      <c r="A24" s="12"/>
      <c r="B24" s="102" t="s">
        <v>76</v>
      </c>
      <c r="C24" s="102"/>
      <c r="D24" s="102"/>
      <c r="E24" s="102"/>
      <c r="F24" s="10"/>
      <c r="G24" s="10"/>
      <c r="H24" s="18">
        <f>SUM(H15:H23)</f>
        <v>6410625</v>
      </c>
    </row>
    <row r="25" spans="1:8" ht="15" customHeight="1" x14ac:dyDescent="0.25"/>
    <row r="26" spans="1:8" ht="29.25" customHeight="1" x14ac:dyDescent="0.25">
      <c r="B26" s="79" t="s">
        <v>185</v>
      </c>
      <c r="C26" s="79"/>
      <c r="D26" s="79"/>
      <c r="E26" s="79"/>
      <c r="H26" s="19">
        <f>SUM(H11,H24)</f>
        <v>17000625</v>
      </c>
    </row>
  </sheetData>
  <mergeCells count="22">
    <mergeCell ref="B22:E22"/>
    <mergeCell ref="B23:E23"/>
    <mergeCell ref="B24:E24"/>
    <mergeCell ref="B26:E26"/>
    <mergeCell ref="B7:E7"/>
    <mergeCell ref="B16:E16"/>
    <mergeCell ref="B17:E17"/>
    <mergeCell ref="B18:E18"/>
    <mergeCell ref="B19:E19"/>
    <mergeCell ref="B20:E20"/>
    <mergeCell ref="B21:E21"/>
    <mergeCell ref="B9:E9"/>
    <mergeCell ref="B10:E10"/>
    <mergeCell ref="B11:E11"/>
    <mergeCell ref="B3:E3"/>
    <mergeCell ref="B14:E14"/>
    <mergeCell ref="B15:E15"/>
    <mergeCell ref="B2:E2"/>
    <mergeCell ref="B4:E4"/>
    <mergeCell ref="B5:E5"/>
    <mergeCell ref="B6:E6"/>
    <mergeCell ref="B8:E8"/>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17"/>
  <sheetViews>
    <sheetView topLeftCell="A7" zoomScale="110" zoomScaleNormal="110" workbookViewId="0">
      <selection activeCell="F3" sqref="F3:O3"/>
    </sheetView>
  </sheetViews>
  <sheetFormatPr defaultColWidth="8" defaultRowHeight="24" customHeight="1" x14ac:dyDescent="0.25"/>
  <sheetData>
    <row r="2" spans="2:15" ht="24" customHeight="1" x14ac:dyDescent="0.25">
      <c r="B2" s="106" t="s">
        <v>189</v>
      </c>
      <c r="C2" s="106"/>
      <c r="D2" s="106"/>
    </row>
    <row r="3" spans="2:15" s="1" customFormat="1" ht="24" customHeight="1" x14ac:dyDescent="0.25">
      <c r="B3" s="107" t="s">
        <v>94</v>
      </c>
      <c r="C3" s="107"/>
      <c r="D3" s="107"/>
      <c r="E3" s="107"/>
      <c r="F3" s="75" t="s">
        <v>95</v>
      </c>
      <c r="G3" s="75" t="s">
        <v>96</v>
      </c>
      <c r="H3" s="75" t="s">
        <v>97</v>
      </c>
      <c r="I3" s="75" t="s">
        <v>98</v>
      </c>
      <c r="J3" s="75" t="s">
        <v>99</v>
      </c>
      <c r="K3" s="75" t="s">
        <v>100</v>
      </c>
      <c r="L3" s="75" t="s">
        <v>101</v>
      </c>
      <c r="M3" s="75" t="s">
        <v>102</v>
      </c>
      <c r="N3" s="75" t="s">
        <v>103</v>
      </c>
      <c r="O3" s="75" t="s">
        <v>104</v>
      </c>
    </row>
    <row r="4" spans="2:15" ht="24" customHeight="1" x14ac:dyDescent="0.25">
      <c r="B4" s="77" t="s">
        <v>84</v>
      </c>
      <c r="C4" s="77"/>
      <c r="D4" s="77"/>
      <c r="E4" s="77"/>
      <c r="F4" s="27">
        <f>overview!F19</f>
        <v>50</v>
      </c>
      <c r="G4" s="27">
        <f>F16</f>
        <v>100</v>
      </c>
      <c r="H4" s="27">
        <f t="shared" ref="H4:O4" si="0">G16</f>
        <v>100</v>
      </c>
      <c r="I4" s="27">
        <f t="shared" si="0"/>
        <v>100</v>
      </c>
      <c r="J4" s="27">
        <f t="shared" si="0"/>
        <v>110</v>
      </c>
      <c r="K4" s="27">
        <f t="shared" si="0"/>
        <v>110</v>
      </c>
      <c r="L4" s="27">
        <f t="shared" si="0"/>
        <v>111.00000000000001</v>
      </c>
      <c r="M4" s="27">
        <f t="shared" si="0"/>
        <v>111</v>
      </c>
      <c r="N4" s="27">
        <f t="shared" si="0"/>
        <v>111.99999999999999</v>
      </c>
      <c r="O4" s="27">
        <f t="shared" si="0"/>
        <v>111.99999999999999</v>
      </c>
    </row>
    <row r="5" spans="2:15" ht="24" customHeight="1" x14ac:dyDescent="0.25">
      <c r="B5" s="77" t="s">
        <v>85</v>
      </c>
      <c r="C5" s="77"/>
      <c r="D5" s="77"/>
      <c r="E5" s="77"/>
      <c r="F5" s="27">
        <f>F4</f>
        <v>50</v>
      </c>
      <c r="G5" s="27">
        <f>F15</f>
        <v>40</v>
      </c>
      <c r="H5" s="27">
        <f t="shared" ref="H5:O5" si="1">G15</f>
        <v>50.2</v>
      </c>
      <c r="I5" s="27">
        <f t="shared" si="1"/>
        <v>59.28</v>
      </c>
      <c r="J5" s="27">
        <f t="shared" si="1"/>
        <v>66.331999999999994</v>
      </c>
      <c r="K5" s="27">
        <f t="shared" si="1"/>
        <v>69.652799999999999</v>
      </c>
      <c r="L5" s="27">
        <f t="shared" si="1"/>
        <v>69.743120000000005</v>
      </c>
      <c r="M5" s="27">
        <f t="shared" si="1"/>
        <v>71.409247999999991</v>
      </c>
      <c r="N5" s="27">
        <f t="shared" si="1"/>
        <v>70.82189919999999</v>
      </c>
      <c r="O5" s="27">
        <f t="shared" si="1"/>
        <v>72.232759679999987</v>
      </c>
    </row>
    <row r="6" spans="2:15" ht="24" customHeight="1" x14ac:dyDescent="0.25">
      <c r="B6" s="77" t="s">
        <v>86</v>
      </c>
      <c r="C6" s="77"/>
      <c r="D6" s="77"/>
      <c r="E6" s="77"/>
      <c r="F6" s="27">
        <f>overview!F20</f>
        <v>50</v>
      </c>
      <c r="G6" s="27">
        <f>G11</f>
        <v>0</v>
      </c>
      <c r="H6" s="27">
        <v>0</v>
      </c>
      <c r="I6" s="27">
        <f>I11</f>
        <v>10</v>
      </c>
      <c r="J6" s="27">
        <v>0</v>
      </c>
      <c r="K6" s="27">
        <f>K11</f>
        <v>11</v>
      </c>
      <c r="L6" s="27">
        <v>0</v>
      </c>
      <c r="M6" s="27">
        <f>M11</f>
        <v>11.100000000000001</v>
      </c>
      <c r="N6" s="27">
        <v>0</v>
      </c>
      <c r="O6" s="27">
        <f>O11</f>
        <v>11.2</v>
      </c>
    </row>
    <row r="7" spans="2:15" ht="24" customHeight="1" x14ac:dyDescent="0.25">
      <c r="B7" s="77" t="s">
        <v>106</v>
      </c>
      <c r="C7" s="77"/>
      <c r="D7" s="77"/>
      <c r="E7" s="77"/>
      <c r="F7" s="27">
        <f>F6</f>
        <v>50</v>
      </c>
      <c r="G7" s="27">
        <v>0</v>
      </c>
      <c r="H7" s="27">
        <v>0</v>
      </c>
      <c r="I7" s="27">
        <v>0</v>
      </c>
      <c r="J7" s="27">
        <v>0</v>
      </c>
      <c r="K7" s="27">
        <v>0</v>
      </c>
      <c r="L7" s="27">
        <v>0</v>
      </c>
      <c r="M7" s="27">
        <v>0</v>
      </c>
      <c r="N7" s="27">
        <v>0</v>
      </c>
      <c r="O7" s="27">
        <v>0</v>
      </c>
    </row>
    <row r="8" spans="2:15" ht="24" customHeight="1" x14ac:dyDescent="0.25">
      <c r="B8" s="77" t="s">
        <v>109</v>
      </c>
      <c r="C8" s="77"/>
      <c r="D8" s="77"/>
      <c r="E8" s="77"/>
      <c r="F8" s="27">
        <v>0</v>
      </c>
      <c r="G8" s="27">
        <f>(G4+G6-G9)*'tep-2'!H15</f>
        <v>85.5</v>
      </c>
      <c r="H8" s="27">
        <f>(H4+H6-H9)*'tep-2'!H15</f>
        <v>85.5</v>
      </c>
      <c r="I8" s="27">
        <f>(I4+I6-I9)*'tep-2'!H15</f>
        <v>94.05</v>
      </c>
      <c r="J8" s="27">
        <f>(J4+J6-J9)*'tep-2'!H15</f>
        <v>94.05</v>
      </c>
      <c r="K8" s="27">
        <f>(K4+K6-K9)*'tep-2'!H15</f>
        <v>103.455</v>
      </c>
      <c r="L8" s="27">
        <f>(L4+L6-L9)*'tep-2'!H15</f>
        <v>94.905000000000015</v>
      </c>
      <c r="M8" s="27">
        <f>(M4+M6-M9)*'tep-2'!H15</f>
        <v>104.3955</v>
      </c>
      <c r="N8" s="27">
        <f>(N4+N6-N9)*'tep-2'!H15</f>
        <v>95.759999999999991</v>
      </c>
      <c r="O8" s="27">
        <f>(O4+O6-O9)*'tep-2'!H15</f>
        <v>105.336</v>
      </c>
    </row>
    <row r="9" spans="2:15" ht="24" customHeight="1" x14ac:dyDescent="0.25">
      <c r="B9" s="77" t="s">
        <v>87</v>
      </c>
      <c r="C9" s="77"/>
      <c r="D9" s="77"/>
      <c r="E9" s="77"/>
      <c r="F9" s="27">
        <f>SUM(F4,F6)*'tep-2'!H12</f>
        <v>5</v>
      </c>
      <c r="G9" s="27">
        <f>SUM(G4,G6)*'tep-2'!H12</f>
        <v>5</v>
      </c>
      <c r="H9" s="27">
        <f>SUM(H4,H6)*'tep-2'!H12</f>
        <v>5</v>
      </c>
      <c r="I9" s="27">
        <f>SUM(I4,I6)*'tep-2'!H12</f>
        <v>5.5</v>
      </c>
      <c r="J9" s="27">
        <f>SUM(J4,J6)*'tep-2'!H12</f>
        <v>5.5</v>
      </c>
      <c r="K9" s="27">
        <f>SUM(K4,K6)*'tep-2'!H12</f>
        <v>6.0500000000000007</v>
      </c>
      <c r="L9" s="27">
        <f>SUM(L4,L6)*'tep-2'!H12</f>
        <v>5.5500000000000007</v>
      </c>
      <c r="M9" s="27">
        <f>SUM(M4,M6)*'tep-2'!H12</f>
        <v>6.1050000000000004</v>
      </c>
      <c r="N9" s="27">
        <f>SUM(N4,N6)*'tep-2'!H12</f>
        <v>5.6</v>
      </c>
      <c r="O9" s="27">
        <f>SUM(O4,O6)*'tep-2'!H12</f>
        <v>6.16</v>
      </c>
    </row>
    <row r="10" spans="2:15" ht="24" customHeight="1" x14ac:dyDescent="0.25">
      <c r="B10" s="77" t="s">
        <v>88</v>
      </c>
      <c r="C10" s="77"/>
      <c r="D10" s="77"/>
      <c r="E10" s="77"/>
      <c r="F10" s="27">
        <f>F9</f>
        <v>5</v>
      </c>
      <c r="G10" s="27">
        <f t="shared" ref="G10:O10" si="2">G9</f>
        <v>5</v>
      </c>
      <c r="H10" s="27">
        <f t="shared" si="2"/>
        <v>5</v>
      </c>
      <c r="I10" s="27">
        <f t="shared" si="2"/>
        <v>5.5</v>
      </c>
      <c r="J10" s="27">
        <f t="shared" si="2"/>
        <v>5.5</v>
      </c>
      <c r="K10" s="27">
        <f t="shared" si="2"/>
        <v>6.0500000000000007</v>
      </c>
      <c r="L10" s="27">
        <f t="shared" si="2"/>
        <v>5.5500000000000007</v>
      </c>
      <c r="M10" s="27">
        <f t="shared" si="2"/>
        <v>6.1050000000000004</v>
      </c>
      <c r="N10" s="27">
        <f t="shared" si="2"/>
        <v>5.6</v>
      </c>
      <c r="O10" s="27">
        <f t="shared" si="2"/>
        <v>6.16</v>
      </c>
    </row>
    <row r="11" spans="2:15" ht="24" customHeight="1" x14ac:dyDescent="0.25">
      <c r="B11" s="77" t="s">
        <v>89</v>
      </c>
      <c r="C11" s="77"/>
      <c r="D11" s="77"/>
      <c r="E11" s="77"/>
      <c r="F11" s="74">
        <f>0</f>
        <v>0</v>
      </c>
      <c r="G11" s="74">
        <v>0</v>
      </c>
      <c r="H11" s="74">
        <f>H4*'tep-2'!$H$16</f>
        <v>10</v>
      </c>
      <c r="I11" s="74">
        <f>I4*'tep-2'!$H$16</f>
        <v>10</v>
      </c>
      <c r="J11" s="74">
        <f>J4*'tep-2'!$H$16</f>
        <v>11</v>
      </c>
      <c r="K11" s="74">
        <f>K4*'tep-2'!$H$16</f>
        <v>11</v>
      </c>
      <c r="L11" s="74">
        <f>L4*'tep-2'!$H$16</f>
        <v>11.100000000000001</v>
      </c>
      <c r="M11" s="74">
        <f>M4*'tep-2'!$H$16</f>
        <v>11.100000000000001</v>
      </c>
      <c r="N11" s="74">
        <f>N4*'tep-2'!$H$16</f>
        <v>11.2</v>
      </c>
      <c r="O11" s="74">
        <f>O4*'tep-2'!$H$16</f>
        <v>11.2</v>
      </c>
    </row>
    <row r="12" spans="2:15" ht="24" customHeight="1" x14ac:dyDescent="0.25">
      <c r="B12" s="77" t="s">
        <v>90</v>
      </c>
      <c r="C12" s="77"/>
      <c r="D12" s="77"/>
      <c r="E12" s="77"/>
      <c r="F12" s="74">
        <v>0</v>
      </c>
      <c r="G12" s="74">
        <v>0</v>
      </c>
      <c r="H12" s="74">
        <f>H11</f>
        <v>10</v>
      </c>
      <c r="I12" s="74">
        <f>I11</f>
        <v>10</v>
      </c>
      <c r="J12" s="74">
        <f>J11</f>
        <v>11</v>
      </c>
      <c r="K12" s="74">
        <v>1</v>
      </c>
      <c r="L12" s="74">
        <f>L11</f>
        <v>11.100000000000001</v>
      </c>
      <c r="M12" s="74">
        <v>1</v>
      </c>
      <c r="N12" s="74">
        <f>N11</f>
        <v>11.2</v>
      </c>
      <c r="O12" s="74">
        <v>1</v>
      </c>
    </row>
    <row r="13" spans="2:15" ht="24" customHeight="1" x14ac:dyDescent="0.25">
      <c r="B13" s="77" t="s">
        <v>91</v>
      </c>
      <c r="C13" s="77"/>
      <c r="D13" s="77"/>
      <c r="E13" s="77"/>
      <c r="F13" s="27">
        <f>SUM(F5,F7,F8)*'tep-2'!H11</f>
        <v>10</v>
      </c>
      <c r="G13" s="27">
        <f>SUM(G5,G7,G8)*'tep-2'!H11</f>
        <v>12.55</v>
      </c>
      <c r="H13" s="27">
        <f>SUM(H5,H7,H8)*'tep-2'!H11</f>
        <v>13.57</v>
      </c>
      <c r="I13" s="27">
        <f>SUM(I5,I7,I8)*'tep-2'!H11</f>
        <v>15.332999999999998</v>
      </c>
      <c r="J13" s="27">
        <f>SUM(J5,J7,J8)*'tep-2'!H11</f>
        <v>16.0382</v>
      </c>
      <c r="K13" s="27">
        <f>SUM(K5,K7,K8)*'tep-2'!H11</f>
        <v>17.310780000000001</v>
      </c>
      <c r="L13" s="27">
        <f>SUM(L5,L7,L8)*'tep-2'!H11</f>
        <v>16.464812000000002</v>
      </c>
      <c r="M13" s="27">
        <f>SUM(M5,M7,M8)*'tep-2'!H11</f>
        <v>17.580474800000001</v>
      </c>
      <c r="N13" s="27">
        <f>SUM(N5,N7,N8)*'tep-2'!H11</f>
        <v>16.658189919999998</v>
      </c>
      <c r="O13" s="27">
        <f>SUM(O5,O7,O8)*'tep-2'!H11</f>
        <v>17.756875967999999</v>
      </c>
    </row>
    <row r="14" spans="2:15" ht="24" customHeight="1" x14ac:dyDescent="0.25">
      <c r="B14" s="77" t="s">
        <v>108</v>
      </c>
      <c r="C14" s="77"/>
      <c r="D14" s="77"/>
      <c r="E14" s="77"/>
      <c r="F14" s="27">
        <f>(F5+F7+F8-F12)*'tep-2'!H14</f>
        <v>50</v>
      </c>
      <c r="G14" s="27">
        <f>(G5+G7+G8-G12)*'tep-2'!H14</f>
        <v>62.75</v>
      </c>
      <c r="H14" s="27">
        <f>(H5+H7+H8-H12)*'tep-2'!H14</f>
        <v>62.849999999999994</v>
      </c>
      <c r="I14" s="27">
        <f>(I5+I7+I8-I12)*'tep-2'!H14</f>
        <v>71.664999999999992</v>
      </c>
      <c r="J14" s="27">
        <f>(J5+J7+J8-J12)*'tep-2'!H14</f>
        <v>74.691000000000003</v>
      </c>
      <c r="K14" s="27">
        <f>(K5+K7+K8-K12)*'tep-2'!H14</f>
        <v>86.053899999999999</v>
      </c>
      <c r="L14" s="27">
        <f>(L5+L7+L8-L12)*'tep-2'!H14</f>
        <v>76.774060000000006</v>
      </c>
      <c r="M14" s="27">
        <f>(M5+M7+M8-M12)*'tep-2'!H14</f>
        <v>87.402373999999995</v>
      </c>
      <c r="N14" s="27">
        <f>(N5+N7+N8-N12)*'tep-2'!H14</f>
        <v>77.690949599999996</v>
      </c>
      <c r="O14" s="27">
        <f>(O5+O7+O8-O12)*'tep-2'!H14</f>
        <v>88.284379839999986</v>
      </c>
    </row>
    <row r="15" spans="2:15" ht="24" customHeight="1" x14ac:dyDescent="0.25">
      <c r="B15" s="77" t="s">
        <v>92</v>
      </c>
      <c r="C15" s="77"/>
      <c r="D15" s="77"/>
      <c r="E15" s="77"/>
      <c r="F15" s="27">
        <f>(F5+F7+F8)-(F13+F14)</f>
        <v>40</v>
      </c>
      <c r="G15" s="27">
        <f t="shared" ref="G15:O15" si="3">(G5+G7+G8)-(G13+G14)</f>
        <v>50.2</v>
      </c>
      <c r="H15" s="27">
        <f t="shared" si="3"/>
        <v>59.28</v>
      </c>
      <c r="I15" s="27">
        <f t="shared" si="3"/>
        <v>66.331999999999994</v>
      </c>
      <c r="J15" s="27">
        <f t="shared" si="3"/>
        <v>69.652799999999999</v>
      </c>
      <c r="K15" s="27">
        <f t="shared" si="3"/>
        <v>69.743120000000005</v>
      </c>
      <c r="L15" s="27">
        <f t="shared" si="3"/>
        <v>71.409247999999991</v>
      </c>
      <c r="M15" s="27">
        <f t="shared" si="3"/>
        <v>70.82189919999999</v>
      </c>
      <c r="N15" s="27">
        <f t="shared" si="3"/>
        <v>72.232759679999987</v>
      </c>
      <c r="O15" s="27">
        <f t="shared" si="3"/>
        <v>71.527503871999983</v>
      </c>
    </row>
    <row r="16" spans="2:15" ht="24" customHeight="1" x14ac:dyDescent="0.25">
      <c r="B16" s="77" t="s">
        <v>93</v>
      </c>
      <c r="C16" s="77"/>
      <c r="D16" s="77"/>
      <c r="E16" s="77"/>
      <c r="F16" s="27">
        <f>(F4+F6+F10+F12)-(F9+F11)</f>
        <v>100</v>
      </c>
      <c r="G16" s="27">
        <f t="shared" ref="G16:O16" si="4">(G4+G6+G10+G12)-(G9+G11)</f>
        <v>100</v>
      </c>
      <c r="H16" s="27">
        <f t="shared" si="4"/>
        <v>100</v>
      </c>
      <c r="I16" s="27">
        <f t="shared" si="4"/>
        <v>110</v>
      </c>
      <c r="J16" s="27">
        <f t="shared" si="4"/>
        <v>110</v>
      </c>
      <c r="K16" s="27">
        <f t="shared" si="4"/>
        <v>111.00000000000001</v>
      </c>
      <c r="L16" s="27">
        <f t="shared" si="4"/>
        <v>111</v>
      </c>
      <c r="M16" s="27">
        <f t="shared" si="4"/>
        <v>111.99999999999999</v>
      </c>
      <c r="N16" s="27">
        <f t="shared" si="4"/>
        <v>111.99999999999999</v>
      </c>
      <c r="O16" s="27">
        <f t="shared" si="4"/>
        <v>112.99999999999999</v>
      </c>
    </row>
    <row r="17" spans="2:15" ht="24" customHeight="1" x14ac:dyDescent="0.25">
      <c r="B17" s="102" t="s">
        <v>105</v>
      </c>
      <c r="C17" s="102"/>
      <c r="D17" s="102"/>
      <c r="E17" s="102"/>
      <c r="F17" s="24">
        <f>SUM(F4:F7)</f>
        <v>200</v>
      </c>
      <c r="G17" s="24">
        <f t="shared" ref="G17:O17" si="5">SUM(G4:G7)</f>
        <v>140</v>
      </c>
      <c r="H17" s="28">
        <f t="shared" si="5"/>
        <v>150.19999999999999</v>
      </c>
      <c r="I17" s="28">
        <f t="shared" si="5"/>
        <v>169.28</v>
      </c>
      <c r="J17" s="28">
        <f t="shared" si="5"/>
        <v>176.33199999999999</v>
      </c>
      <c r="K17" s="28">
        <f t="shared" si="5"/>
        <v>190.65280000000001</v>
      </c>
      <c r="L17" s="28">
        <f t="shared" si="5"/>
        <v>180.74312000000003</v>
      </c>
      <c r="M17" s="28">
        <f t="shared" si="5"/>
        <v>193.50924799999999</v>
      </c>
      <c r="N17" s="28">
        <f t="shared" si="5"/>
        <v>182.82189919999996</v>
      </c>
      <c r="O17" s="28">
        <f t="shared" si="5"/>
        <v>195.43275967999995</v>
      </c>
    </row>
  </sheetData>
  <mergeCells count="16">
    <mergeCell ref="B2:D2"/>
    <mergeCell ref="B17:E17"/>
    <mergeCell ref="B7:E7"/>
    <mergeCell ref="B14:E14"/>
    <mergeCell ref="B4:E4"/>
    <mergeCell ref="B5:E5"/>
    <mergeCell ref="B6:E6"/>
    <mergeCell ref="B9:E9"/>
    <mergeCell ref="B10:E10"/>
    <mergeCell ref="B11:E11"/>
    <mergeCell ref="B8:E8"/>
    <mergeCell ref="B12:E12"/>
    <mergeCell ref="B13:E13"/>
    <mergeCell ref="B15:E15"/>
    <mergeCell ref="B16:E16"/>
    <mergeCell ref="B3:E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1"/>
  <sheetViews>
    <sheetView topLeftCell="A5" workbookViewId="0">
      <selection activeCell="H18" sqref="H18:O18"/>
    </sheetView>
  </sheetViews>
  <sheetFormatPr defaultColWidth="7.28515625" defaultRowHeight="23.25" customHeight="1" x14ac:dyDescent="0.25"/>
  <cols>
    <col min="1" max="1" width="5.5703125" customWidth="1"/>
    <col min="2" max="2" width="6.5703125" customWidth="1"/>
    <col min="3" max="3" width="7.140625" customWidth="1"/>
    <col min="4" max="7" width="7.28515625" customWidth="1"/>
    <col min="8" max="12" width="9" customWidth="1"/>
    <col min="13" max="13" width="11.28515625" bestFit="1" customWidth="1"/>
    <col min="14" max="15" width="9.140625" bestFit="1" customWidth="1"/>
  </cols>
  <sheetData>
    <row r="2" spans="1:17" ht="23.25" customHeight="1" x14ac:dyDescent="0.25">
      <c r="A2" s="82" t="s">
        <v>110</v>
      </c>
      <c r="B2" s="82"/>
      <c r="C2" s="82"/>
    </row>
    <row r="3" spans="1:17" ht="15" customHeight="1" x14ac:dyDescent="0.25">
      <c r="A3" s="12"/>
      <c r="B3" s="111" t="s">
        <v>95</v>
      </c>
      <c r="C3" s="111"/>
      <c r="D3" s="111" t="s">
        <v>96</v>
      </c>
      <c r="E3" s="111"/>
      <c r="F3" s="111" t="s">
        <v>97</v>
      </c>
      <c r="G3" s="111"/>
      <c r="H3" s="111" t="s">
        <v>98</v>
      </c>
      <c r="I3" s="111"/>
      <c r="J3" s="111" t="s">
        <v>99</v>
      </c>
      <c r="K3" s="111"/>
      <c r="L3" s="111" t="s">
        <v>100</v>
      </c>
      <c r="M3" s="111"/>
      <c r="N3" s="111" t="s">
        <v>101</v>
      </c>
      <c r="O3" s="111"/>
      <c r="P3" s="111" t="s">
        <v>102</v>
      </c>
      <c r="Q3" s="111"/>
    </row>
    <row r="4" spans="1:17" ht="39.75" customHeight="1" x14ac:dyDescent="0.25">
      <c r="A4" s="46" t="s">
        <v>156</v>
      </c>
      <c r="B4" s="29" t="s">
        <v>112</v>
      </c>
      <c r="C4" s="29" t="s">
        <v>113</v>
      </c>
      <c r="D4" s="29" t="s">
        <v>112</v>
      </c>
      <c r="E4" s="29" t="s">
        <v>113</v>
      </c>
      <c r="F4" s="29" t="s">
        <v>112</v>
      </c>
      <c r="G4" s="29" t="s">
        <v>113</v>
      </c>
      <c r="H4" s="29" t="s">
        <v>112</v>
      </c>
      <c r="I4" s="29" t="s">
        <v>113</v>
      </c>
      <c r="J4" s="29" t="s">
        <v>112</v>
      </c>
      <c r="K4" s="29" t="s">
        <v>113</v>
      </c>
      <c r="L4" s="29" t="s">
        <v>112</v>
      </c>
      <c r="M4" s="29" t="s">
        <v>113</v>
      </c>
      <c r="N4" s="29" t="s">
        <v>112</v>
      </c>
      <c r="O4" s="29" t="s">
        <v>113</v>
      </c>
      <c r="P4" s="29" t="s">
        <v>112</v>
      </c>
      <c r="Q4" s="29" t="s">
        <v>113</v>
      </c>
    </row>
    <row r="5" spans="1:17" ht="23.25" customHeight="1" x14ac:dyDescent="0.25">
      <c r="A5" s="25" t="s">
        <v>155</v>
      </c>
      <c r="B5" s="10">
        <f>(overview!F19*305)</f>
        <v>15250</v>
      </c>
      <c r="C5" s="10">
        <f>(overview!F19*60)</f>
        <v>3000</v>
      </c>
      <c r="D5" s="10">
        <f>(overview!F19*305)</f>
        <v>15250</v>
      </c>
      <c r="E5" s="10">
        <f>(overview!F19*60)</f>
        <v>3000</v>
      </c>
      <c r="F5" s="10">
        <f>(overview!F19*305)</f>
        <v>15250</v>
      </c>
      <c r="G5" s="10">
        <f>(overview!F19*60)</f>
        <v>3000</v>
      </c>
      <c r="H5" s="10">
        <f>(overview!F19*305)</f>
        <v>15250</v>
      </c>
      <c r="I5" s="10">
        <f>(overview!F19*60)</f>
        <v>3000</v>
      </c>
      <c r="J5" s="10">
        <f>(overview!F19*305)</f>
        <v>15250</v>
      </c>
      <c r="K5" s="10">
        <f>(overview!F19*60)</f>
        <v>3000</v>
      </c>
      <c r="L5" s="10">
        <f>(overview!F19*305)</f>
        <v>15250</v>
      </c>
      <c r="M5" s="10">
        <f>(overview!F19*60)</f>
        <v>3000</v>
      </c>
      <c r="N5" s="10">
        <f>(overview!F19*305)</f>
        <v>15250</v>
      </c>
      <c r="O5" s="10">
        <f>(overview!F19*60)</f>
        <v>3000</v>
      </c>
      <c r="P5" s="10">
        <f>(overview!F19*305)</f>
        <v>15250</v>
      </c>
      <c r="Q5" s="10">
        <f>(overview!F19*60)</f>
        <v>3000</v>
      </c>
    </row>
    <row r="6" spans="1:17" ht="23.25" customHeight="1" x14ac:dyDescent="0.25">
      <c r="A6" s="25" t="s">
        <v>116</v>
      </c>
      <c r="B6" s="38">
        <f>(overview!F20*184)</f>
        <v>9200</v>
      </c>
      <c r="C6" s="10">
        <f>0</f>
        <v>0</v>
      </c>
      <c r="D6" s="10">
        <f>(overview!F20*305)</f>
        <v>15250</v>
      </c>
      <c r="E6" s="10">
        <f>(overview!F20*60)</f>
        <v>3000</v>
      </c>
      <c r="F6" s="10">
        <f>(overview!F20*305)</f>
        <v>15250</v>
      </c>
      <c r="G6" s="10">
        <f>(overview!F20*60)</f>
        <v>3000</v>
      </c>
      <c r="H6" s="10">
        <f>(overview!F20*305)</f>
        <v>15250</v>
      </c>
      <c r="I6" s="10">
        <f>(overview!F20*60)</f>
        <v>3000</v>
      </c>
      <c r="J6" s="10">
        <f>(overview!F20*305)</f>
        <v>15250</v>
      </c>
      <c r="K6" s="10">
        <f>(overview!F20*60)</f>
        <v>3000</v>
      </c>
      <c r="L6" s="10">
        <f>(overview!F20*305)</f>
        <v>15250</v>
      </c>
      <c r="M6" s="10">
        <f>(overview!F20*60)</f>
        <v>3000</v>
      </c>
      <c r="N6" s="10">
        <f>(overview!F20*305)</f>
        <v>15250</v>
      </c>
      <c r="O6" s="10">
        <f>(overview!F20*60)</f>
        <v>3000</v>
      </c>
      <c r="P6" s="10">
        <f>(overview!F20*305)</f>
        <v>15250</v>
      </c>
      <c r="Q6" s="10">
        <f>(overview!F20*60)</f>
        <v>3000</v>
      </c>
    </row>
    <row r="7" spans="1:17" ht="18" customHeight="1" x14ac:dyDescent="0.25">
      <c r="A7" s="25"/>
      <c r="B7" s="108" t="s">
        <v>114</v>
      </c>
      <c r="C7" s="109"/>
      <c r="D7" s="109"/>
      <c r="E7" s="109"/>
      <c r="F7" s="109"/>
      <c r="G7" s="109"/>
      <c r="H7" s="109"/>
      <c r="I7" s="109"/>
      <c r="J7" s="109"/>
      <c r="K7" s="109"/>
      <c r="L7" s="109"/>
      <c r="M7" s="109"/>
      <c r="N7" s="109"/>
      <c r="O7" s="109"/>
      <c r="P7" s="109"/>
      <c r="Q7" s="110"/>
    </row>
    <row r="8" spans="1:17" ht="23.25" customHeight="1" x14ac:dyDescent="0.25">
      <c r="A8" s="26" t="s">
        <v>80</v>
      </c>
      <c r="B8" s="26">
        <f>SUM(B5,B6)</f>
        <v>24450</v>
      </c>
      <c r="C8" s="26">
        <f t="shared" ref="C8:Q8" si="0">SUM(C5,C6)</f>
        <v>3000</v>
      </c>
      <c r="D8" s="26">
        <f t="shared" si="0"/>
        <v>30500</v>
      </c>
      <c r="E8" s="26">
        <f t="shared" si="0"/>
        <v>6000</v>
      </c>
      <c r="F8" s="26">
        <f t="shared" si="0"/>
        <v>30500</v>
      </c>
      <c r="G8" s="26">
        <f t="shared" si="0"/>
        <v>6000</v>
      </c>
      <c r="H8" s="26">
        <f t="shared" si="0"/>
        <v>30500</v>
      </c>
      <c r="I8" s="26">
        <f t="shared" si="0"/>
        <v>6000</v>
      </c>
      <c r="J8" s="26">
        <f t="shared" si="0"/>
        <v>30500</v>
      </c>
      <c r="K8" s="26">
        <f t="shared" si="0"/>
        <v>6000</v>
      </c>
      <c r="L8" s="26">
        <f t="shared" si="0"/>
        <v>30500</v>
      </c>
      <c r="M8" s="26">
        <f t="shared" si="0"/>
        <v>6000</v>
      </c>
      <c r="N8" s="26">
        <f t="shared" si="0"/>
        <v>30500</v>
      </c>
      <c r="O8" s="26">
        <f t="shared" si="0"/>
        <v>6000</v>
      </c>
      <c r="P8" s="26">
        <f t="shared" si="0"/>
        <v>30500</v>
      </c>
      <c r="Q8" s="26">
        <f t="shared" si="0"/>
        <v>6000</v>
      </c>
    </row>
    <row r="9" spans="1:17" ht="23.25" customHeight="1" x14ac:dyDescent="0.25">
      <c r="A9" s="30"/>
      <c r="B9" s="31"/>
      <c r="C9" s="31"/>
      <c r="D9" s="31"/>
      <c r="E9" s="31"/>
      <c r="F9" s="31"/>
      <c r="G9" s="31"/>
      <c r="H9" s="31"/>
      <c r="I9" s="31"/>
      <c r="J9" s="31"/>
      <c r="K9" s="31"/>
      <c r="L9" s="31"/>
      <c r="M9" s="31"/>
      <c r="N9" s="31"/>
      <c r="O9" s="31"/>
      <c r="P9" s="31"/>
      <c r="Q9" s="31"/>
    </row>
    <row r="10" spans="1:17" ht="23.25" customHeight="1" x14ac:dyDescent="0.25">
      <c r="A10" s="82" t="s">
        <v>111</v>
      </c>
      <c r="B10" s="82"/>
      <c r="C10" s="82"/>
      <c r="D10" s="82"/>
      <c r="E10" s="82"/>
      <c r="F10" s="22"/>
      <c r="G10" s="22"/>
      <c r="H10" s="13" t="s">
        <v>115</v>
      </c>
      <c r="I10" s="13" t="s">
        <v>116</v>
      </c>
      <c r="J10" s="13" t="s">
        <v>117</v>
      </c>
      <c r="K10" s="13" t="s">
        <v>118</v>
      </c>
      <c r="L10" s="13" t="s">
        <v>119</v>
      </c>
      <c r="M10" s="13" t="s">
        <v>120</v>
      </c>
      <c r="N10" s="13" t="s">
        <v>121</v>
      </c>
      <c r="O10" s="13" t="s">
        <v>122</v>
      </c>
    </row>
    <row r="11" spans="1:17" ht="18.75" customHeight="1" x14ac:dyDescent="0.25">
      <c r="A11" s="23">
        <v>1</v>
      </c>
      <c r="B11" s="77" t="s">
        <v>123</v>
      </c>
      <c r="C11" s="77"/>
      <c r="D11" s="77"/>
      <c r="E11" s="77"/>
      <c r="F11" s="77"/>
      <c r="G11" s="77"/>
      <c r="H11" s="35">
        <f>expenditure!H15</f>
        <v>200000</v>
      </c>
      <c r="I11" s="35">
        <f>H11*1.05</f>
        <v>210000</v>
      </c>
      <c r="J11" s="35">
        <f>H11*1.1</f>
        <v>220000.00000000003</v>
      </c>
      <c r="K11" s="35">
        <f>H11*1.15</f>
        <v>229999.99999999997</v>
      </c>
      <c r="L11" s="35">
        <f>H11*1.2</f>
        <v>240000</v>
      </c>
      <c r="M11" s="35">
        <f>H11*1.25</f>
        <v>250000</v>
      </c>
      <c r="N11" s="35">
        <f>H11*1.3</f>
        <v>260000</v>
      </c>
      <c r="O11" s="35">
        <f>H11*1.35</f>
        <v>270000</v>
      </c>
    </row>
    <row r="12" spans="1:17" ht="18.75" customHeight="1" x14ac:dyDescent="0.25">
      <c r="A12" s="23">
        <v>2</v>
      </c>
      <c r="B12" s="77" t="s">
        <v>128</v>
      </c>
      <c r="C12" s="77"/>
      <c r="D12" s="77"/>
      <c r="E12" s="77"/>
      <c r="F12" s="77"/>
      <c r="G12" s="77"/>
      <c r="H12" s="35">
        <f>expenditure!H17</f>
        <v>1314000</v>
      </c>
      <c r="I12" s="35">
        <f t="shared" ref="I12" si="1">H12*1.05</f>
        <v>1379700</v>
      </c>
      <c r="J12" s="35">
        <f t="shared" ref="J12" si="2">H12*1.1</f>
        <v>1445400.0000000002</v>
      </c>
      <c r="K12" s="35">
        <f t="shared" ref="K12" si="3">H12*1.15</f>
        <v>1511099.9999999998</v>
      </c>
      <c r="L12" s="35">
        <f t="shared" ref="L12" si="4">H12*1.2</f>
        <v>1576800</v>
      </c>
      <c r="M12" s="35">
        <f t="shared" ref="M12" si="5">H12*1.25</f>
        <v>1642500</v>
      </c>
      <c r="N12" s="35">
        <f t="shared" ref="N12" si="6">H12*1.3</f>
        <v>1708200</v>
      </c>
      <c r="O12" s="35">
        <f t="shared" ref="O12" si="7">H12*1.35</f>
        <v>1773900.0000000002</v>
      </c>
    </row>
    <row r="13" spans="1:17" ht="18.75" customHeight="1" x14ac:dyDescent="0.25">
      <c r="A13" s="23">
        <v>3</v>
      </c>
      <c r="B13" s="77" t="s">
        <v>175</v>
      </c>
      <c r="C13" s="77"/>
      <c r="D13" s="77"/>
      <c r="E13" s="77"/>
      <c r="F13" s="77"/>
      <c r="G13" s="77"/>
      <c r="H13" s="35">
        <f>(B8*'tep-1'!H11*10*'tep-1'!H9)+('tep-1'!H9*'tep-1'!H10*lactation!B8)</f>
        <v>3361875</v>
      </c>
      <c r="I13" s="35">
        <f>(D8*'tep-1'!H11*10*'tep-1'!H9*1.05)+(lactation!D8*'tep-1'!H10*'tep-1'!H9*1.05)</f>
        <v>4403437.5</v>
      </c>
      <c r="J13" s="35">
        <f>(F8*'tep-1'!H11*10*'tep-1'!H9*1.1)+(lactation!F8*'tep-1'!H10*'tep-1'!H9*1.1)</f>
        <v>4613125</v>
      </c>
      <c r="K13" s="35">
        <f>(H8*'tep-1'!H11*10*'tep-1'!H9*1.15)+(lactation!H8*'tep-1'!H10*'tep-1'!H9*1.15)</f>
        <v>4822812.5</v>
      </c>
      <c r="L13" s="35">
        <f>(J8*'tep-1'!H11*10*'tep-1'!H9*1.2)+('tep-1'!H10*'tep-1'!H9*1.2*lactation!J8)</f>
        <v>5032500</v>
      </c>
      <c r="M13" s="35">
        <f>(L8*'tep-1'!H11*10*'tep-1'!H9*1.25)+('tep-1'!H10*'tep-1'!H9*1.25*lactation!L8)</f>
        <v>5242187.5</v>
      </c>
      <c r="N13" s="35">
        <f>(N8*'tep-1'!H11*10*'tep-1'!H9*1.3)+('tep-1'!H9*'tep-1'!H10*1.3*lactation!N8)</f>
        <v>5451875</v>
      </c>
      <c r="O13" s="35">
        <f>(P8*'tep-1'!H11*10*'tep-1'!H9*1.35)+('tep-1'!H9*'tep-1'!H10*1.35*lactation!P8)</f>
        <v>5661562.5</v>
      </c>
    </row>
    <row r="14" spans="1:17" ht="18.75" customHeight="1" x14ac:dyDescent="0.25">
      <c r="A14" s="23">
        <v>4</v>
      </c>
      <c r="B14" s="77" t="s">
        <v>124</v>
      </c>
      <c r="C14" s="77"/>
      <c r="D14" s="77"/>
      <c r="E14" s="77"/>
      <c r="F14" s="77"/>
      <c r="G14" s="77"/>
      <c r="H14" s="35">
        <f>(C8*'tep-1'!H10*'tep-1'!H9)</f>
        <v>112500</v>
      </c>
      <c r="I14" s="45">
        <f>E8*'tep-1'!H10*'tep-1'!H9*1.05</f>
        <v>236250</v>
      </c>
      <c r="J14" s="35">
        <f>(G8*'tep-1'!H10*'tep-1'!H9*1.1)</f>
        <v>247500.00000000003</v>
      </c>
      <c r="K14" s="45">
        <f>(I8*1.15*'tep-1'!H10*'tep-1'!H9)</f>
        <v>258749.99999999994</v>
      </c>
      <c r="L14" s="35">
        <f>(K8*1.2*'tep-1'!H9*'tep-1'!H10)</f>
        <v>270000</v>
      </c>
      <c r="M14" s="45">
        <f>(M8*1.25*'tep-1'!H9*'tep-1'!H10)</f>
        <v>281250</v>
      </c>
      <c r="N14" s="35">
        <f>(O8*1.3*'tep-1'!H9*'tep-1'!H10)</f>
        <v>292500</v>
      </c>
      <c r="O14" s="45">
        <f>(Q8*1.35*'tep-1'!H9*'tep-1'!H10)</f>
        <v>303750.00000000006</v>
      </c>
    </row>
    <row r="15" spans="1:17" ht="18.75" customHeight="1" x14ac:dyDescent="0.25">
      <c r="A15" s="23">
        <v>5</v>
      </c>
      <c r="B15" s="77" t="s">
        <v>125</v>
      </c>
      <c r="C15" s="77"/>
      <c r="D15" s="77"/>
      <c r="E15" s="77"/>
      <c r="F15" s="77"/>
      <c r="G15" s="77"/>
      <c r="H15" s="35">
        <f>(B8*'tep-1'!H19*'tep-1'!H5*'tep-1'!H20)+('tep-1'!H20*'tep-1'!H18*lactation!B8)</f>
        <v>0</v>
      </c>
      <c r="I15" s="35">
        <f>(D8*1.05*'tep-1'!H5*'tep-1'!H19*'tep-1'!H20)+('tep-1'!H20*1.05*'tep-1'!H18)</f>
        <v>0</v>
      </c>
      <c r="J15" s="35">
        <f>(1.1*F8*'tep-1'!H19*'tep-1'!H20*'tep-1'!H5)+lactation!J16</f>
        <v>0</v>
      </c>
      <c r="K15" s="35">
        <f>(1.15*H8*'tep-1'!H5*'tep-1'!H19*'tep-1'!H20)+lactation!K16</f>
        <v>0</v>
      </c>
      <c r="L15" s="35">
        <f>(J8*1.2*'tep-1'!H19*'tep-1'!H20*'tep-1'!H5)+lactation!L16</f>
        <v>0</v>
      </c>
      <c r="M15" s="35">
        <f>(1.25*L8*'tep-1'!H19*'tep-1'!H20*'tep-1'!H5)+lactation!M16</f>
        <v>0</v>
      </c>
      <c r="N15" s="35">
        <f>(1.3*N8*'tep-1'!H19*'tep-1'!H5*'tep-1'!H20)+lactation!N16</f>
        <v>0</v>
      </c>
      <c r="O15" s="35">
        <f>(P8*1.35*'tep-1'!H20*'tep-1'!H19*'tep-1'!H5)*lactation!O16</f>
        <v>0</v>
      </c>
    </row>
    <row r="16" spans="1:17" ht="18.75" customHeight="1" x14ac:dyDescent="0.25">
      <c r="A16" s="23">
        <v>6</v>
      </c>
      <c r="B16" s="77" t="s">
        <v>126</v>
      </c>
      <c r="C16" s="77"/>
      <c r="D16" s="77"/>
      <c r="E16" s="77"/>
      <c r="F16" s="77"/>
      <c r="G16" s="77"/>
      <c r="H16" s="35">
        <f>(C8*'tep-1'!H18*'tep-1'!H20)</f>
        <v>0</v>
      </c>
      <c r="I16" s="35">
        <f>(E8*'tep-1'!H18*'tep-1'!H20*1.05)</f>
        <v>0</v>
      </c>
      <c r="J16" s="35">
        <f>(G8*1.1*'tep-1'!H18*'tep-1'!H20)</f>
        <v>0</v>
      </c>
      <c r="K16" s="35">
        <f>(1.15*I8*'tep-1'!H18*'tep-1'!H20)</f>
        <v>0</v>
      </c>
      <c r="L16" s="35">
        <f>(1.2*K8*'tep-1'!H18*'tep-1'!H20)</f>
        <v>0</v>
      </c>
      <c r="M16" s="35">
        <f>(1.25*M8*'tep-1'!H18*'tep-1'!H20)</f>
        <v>0</v>
      </c>
      <c r="N16" s="35">
        <f>(1.3*O8*'tep-1'!H18*'tep-1'!H20)</f>
        <v>0</v>
      </c>
      <c r="O16" s="35">
        <f>(Q8*1.35*'tep-1'!H18*'tep-1'!H20)</f>
        <v>0</v>
      </c>
    </row>
    <row r="17" spans="1:15" ht="18.75" customHeight="1" x14ac:dyDescent="0.25">
      <c r="A17" s="23">
        <v>7</v>
      </c>
      <c r="B17" s="77" t="s">
        <v>129</v>
      </c>
      <c r="C17" s="77"/>
      <c r="D17" s="77"/>
      <c r="E17" s="77"/>
      <c r="F17" s="77"/>
      <c r="G17" s="77"/>
      <c r="H17" s="21">
        <f>expenditure!H19</f>
        <v>300000</v>
      </c>
      <c r="I17" s="21">
        <f>H17*1.05</f>
        <v>315000</v>
      </c>
      <c r="J17" s="21">
        <f>H17*1.1</f>
        <v>330000</v>
      </c>
      <c r="K17" s="21">
        <f>H17*1.15</f>
        <v>345000</v>
      </c>
      <c r="L17" s="21">
        <f>H17*1.2</f>
        <v>360000</v>
      </c>
      <c r="M17" s="21">
        <f>H17*1.25</f>
        <v>375000</v>
      </c>
      <c r="N17" s="21">
        <f>H17*1.3</f>
        <v>390000</v>
      </c>
      <c r="O17" s="21">
        <f>H17*1.35</f>
        <v>405000</v>
      </c>
    </row>
    <row r="18" spans="1:15" ht="18.75" customHeight="1" x14ac:dyDescent="0.25">
      <c r="A18" s="36"/>
      <c r="B18" s="102" t="s">
        <v>127</v>
      </c>
      <c r="C18" s="102"/>
      <c r="D18" s="102"/>
      <c r="E18" s="102"/>
      <c r="F18" s="102"/>
      <c r="G18" s="102"/>
      <c r="H18" s="76">
        <f>SUM(H11:H17)</f>
        <v>5288375</v>
      </c>
      <c r="I18" s="76">
        <f t="shared" ref="I18:O18" si="8">SUM(I11:I17)</f>
        <v>6544387.5</v>
      </c>
      <c r="J18" s="76">
        <f t="shared" si="8"/>
        <v>6856025</v>
      </c>
      <c r="K18" s="76">
        <f t="shared" si="8"/>
        <v>7167662.5</v>
      </c>
      <c r="L18" s="76">
        <f t="shared" si="8"/>
        <v>7479300</v>
      </c>
      <c r="M18" s="76">
        <f t="shared" si="8"/>
        <v>7790937.5</v>
      </c>
      <c r="N18" s="76">
        <f t="shared" si="8"/>
        <v>8102575</v>
      </c>
      <c r="O18" s="76">
        <f t="shared" si="8"/>
        <v>8414212.5</v>
      </c>
    </row>
    <row r="19" spans="1:15" ht="9" customHeight="1" x14ac:dyDescent="0.25"/>
    <row r="20" spans="1:15" ht="23.25" customHeight="1" x14ac:dyDescent="0.25">
      <c r="B20" s="77" t="s">
        <v>144</v>
      </c>
      <c r="C20" s="77"/>
      <c r="D20" s="77"/>
      <c r="E20" s="77"/>
      <c r="F20" s="77"/>
      <c r="G20" s="77"/>
      <c r="H20" s="38">
        <f>SUM(H13,H14)/'tep-1'!H9</f>
        <v>138975</v>
      </c>
      <c r="I20" s="38">
        <f>SUM(I13,I14)/'tep-1'!H9</f>
        <v>185587.5</v>
      </c>
      <c r="J20" s="38">
        <f>SUM(J13,J14)/'tep-1'!H9</f>
        <v>194425</v>
      </c>
      <c r="K20" s="38">
        <f>SUM(K13,K14)/'tep-1'!H9</f>
        <v>203262.5</v>
      </c>
      <c r="L20" s="38">
        <f>SUM(L13,L14)/'tep-1'!H9</f>
        <v>212100</v>
      </c>
      <c r="M20" s="38">
        <f>SUM(M13,M14)/'tep-1'!H9</f>
        <v>220937.5</v>
      </c>
      <c r="N20" s="38">
        <f>SUM(N13,N14)/'tep-1'!H9</f>
        <v>229775</v>
      </c>
      <c r="O20" s="38">
        <f>SUM(O13,O14)/'tep-1'!H9</f>
        <v>238612.5</v>
      </c>
    </row>
    <row r="21" spans="1:15" ht="23.25" customHeight="1" x14ac:dyDescent="0.25">
      <c r="B21" s="77" t="s">
        <v>145</v>
      </c>
      <c r="C21" s="77"/>
      <c r="D21" s="77"/>
      <c r="E21" s="77"/>
      <c r="F21" s="77"/>
      <c r="G21" s="77"/>
      <c r="H21" s="10">
        <v>0</v>
      </c>
      <c r="I21" s="10">
        <v>0</v>
      </c>
      <c r="J21" s="10">
        <v>0</v>
      </c>
      <c r="K21" s="10">
        <v>0</v>
      </c>
      <c r="L21" s="10">
        <v>0</v>
      </c>
      <c r="M21" s="10">
        <v>0</v>
      </c>
      <c r="N21" s="10">
        <v>0</v>
      </c>
      <c r="O21" s="10">
        <v>0</v>
      </c>
    </row>
  </sheetData>
  <mergeCells count="21">
    <mergeCell ref="L3:M3"/>
    <mergeCell ref="N3:O3"/>
    <mergeCell ref="P3:Q3"/>
    <mergeCell ref="A2:C2"/>
    <mergeCell ref="B3:C3"/>
    <mergeCell ref="D3:E3"/>
    <mergeCell ref="F3:G3"/>
    <mergeCell ref="H3:I3"/>
    <mergeCell ref="J3:K3"/>
    <mergeCell ref="B21:G21"/>
    <mergeCell ref="A10:E10"/>
    <mergeCell ref="B7:Q7"/>
    <mergeCell ref="B11:G11"/>
    <mergeCell ref="B12:G12"/>
    <mergeCell ref="B13:G13"/>
    <mergeCell ref="B14:G14"/>
    <mergeCell ref="B15:G15"/>
    <mergeCell ref="B16:G16"/>
    <mergeCell ref="B17:G17"/>
    <mergeCell ref="B18:G18"/>
    <mergeCell ref="B20:G20"/>
  </mergeCells>
  <pageMargins left="0.7" right="0.43"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31"/>
  <sheetViews>
    <sheetView topLeftCell="A12" zoomScale="110" zoomScaleNormal="110" workbookViewId="0">
      <selection activeCell="O12" sqref="O12"/>
    </sheetView>
  </sheetViews>
  <sheetFormatPr defaultRowHeight="15" x14ac:dyDescent="0.25"/>
  <cols>
    <col min="1" max="1" width="3.5703125" customWidth="1"/>
    <col min="2" max="6" width="7.42578125" customWidth="1"/>
    <col min="7" max="7" width="0.140625" customWidth="1"/>
    <col min="8" max="15" width="11.28515625" customWidth="1"/>
  </cols>
  <sheetData>
    <row r="2" spans="1:15" x14ac:dyDescent="0.25">
      <c r="B2" s="2" t="s">
        <v>131</v>
      </c>
      <c r="C2" s="22"/>
      <c r="D2" s="22"/>
      <c r="E2" s="22"/>
      <c r="F2" s="22"/>
      <c r="G2" s="22"/>
      <c r="H2" s="13">
        <v>1</v>
      </c>
      <c r="I2" s="13">
        <v>2</v>
      </c>
      <c r="J2" s="66">
        <v>3</v>
      </c>
      <c r="K2" s="66">
        <v>4</v>
      </c>
      <c r="L2" s="66">
        <v>5</v>
      </c>
      <c r="M2" s="66">
        <v>6</v>
      </c>
      <c r="N2" s="66">
        <v>7</v>
      </c>
      <c r="O2" s="66">
        <v>8</v>
      </c>
    </row>
    <row r="3" spans="1:15" x14ac:dyDescent="0.25">
      <c r="A3" s="22">
        <v>1</v>
      </c>
      <c r="B3" s="77" t="s">
        <v>139</v>
      </c>
      <c r="C3" s="77"/>
      <c r="D3" s="77"/>
      <c r="E3" s="77"/>
      <c r="F3" s="77"/>
      <c r="G3" s="77"/>
      <c r="H3" s="38">
        <f>(lactation!B8*'tep-1'!H5*'tep-1'!H7)</f>
        <v>12225000</v>
      </c>
      <c r="I3" s="38">
        <f>(lactation!D8*'tep-1'!H5*'tep-1'!H7*1.05)+(H3*'tep-2'!H10)</f>
        <v>16379250</v>
      </c>
      <c r="J3" s="38">
        <f>(lactation!F8*'tep-1'!H5*'tep-1'!H7*1.1)+('tep-2'!H10*'balance sheet'!I3)</f>
        <v>17266377.5</v>
      </c>
      <c r="K3" s="38">
        <f>(lactation!H8*'tep-1'!H5*'tep-1'!H7*1.15)+('tep-2'!H10*'balance sheet'!J3)</f>
        <v>18055491.324999999</v>
      </c>
      <c r="L3" s="38">
        <f>(1.2*lactation!J8*'tep-1'!H5*'tep-1'!H7)+('tep-2'!H10*'balance sheet'!K3)</f>
        <v>18841664.739750002</v>
      </c>
      <c r="M3" s="38">
        <f>(1.25*lactation!L8*'tep-1'!H5*'tep-1'!H7)+('tep-2'!H10*'balance sheet'!L3)</f>
        <v>19627749.942192499</v>
      </c>
      <c r="N3" s="38">
        <f>(1.3*lactation!N8*'tep-1'!H5*'tep-1'!H7)+('tep-2'!H10*'balance sheet'!M3)</f>
        <v>20413832.498265773</v>
      </c>
      <c r="O3" s="38">
        <f>(1.35*lactation!P8*'tep-1'!H5*'tep-1'!H7)+('tep-2'!H10*'balance sheet'!N3)</f>
        <v>21199914.974947974</v>
      </c>
    </row>
    <row r="4" spans="1:15" x14ac:dyDescent="0.25">
      <c r="A4" s="22">
        <v>2</v>
      </c>
      <c r="B4" s="77" t="s">
        <v>146</v>
      </c>
      <c r="C4" s="77"/>
      <c r="D4" s="77"/>
      <c r="E4" s="77"/>
      <c r="F4" s="77"/>
      <c r="G4" s="77"/>
      <c r="H4" s="38">
        <f>(lactation!H20/'tep-2'!H19)*'tep-2'!H18</f>
        <v>0</v>
      </c>
      <c r="I4" s="38">
        <f>(lactation!I20/'tep-2'!H19)*'tep-2'!H18*1.05</f>
        <v>0</v>
      </c>
      <c r="J4" s="38">
        <f>(lactation!J20/'tep-2'!H19)*'tep-2'!H18*1.1</f>
        <v>0</v>
      </c>
      <c r="K4" s="38">
        <f>(lactation!K20/'tep-2'!H19)*'tep-2'!H18*1.15</f>
        <v>0</v>
      </c>
      <c r="L4" s="38">
        <f>(lactation!L20/'tep-2'!H19)*'tep-2'!H18*1.2</f>
        <v>0</v>
      </c>
      <c r="M4" s="38">
        <f>(lactation!M20/'tep-2'!H19)*'tep-2'!H18*1.25</f>
        <v>0</v>
      </c>
      <c r="N4" s="38">
        <f>(lactation!N20/'tep-2'!H19)*'tep-2'!H18*1.3</f>
        <v>0</v>
      </c>
      <c r="O4" s="38">
        <f>(lactation!O20/'tep-2'!H19)*'tep-2'!H18*1.35</f>
        <v>0</v>
      </c>
    </row>
    <row r="5" spans="1:15" x14ac:dyDescent="0.25">
      <c r="A5" s="22">
        <v>3</v>
      </c>
      <c r="B5" s="77" t="s">
        <v>140</v>
      </c>
      <c r="C5" s="77"/>
      <c r="D5" s="77"/>
      <c r="E5" s="77"/>
      <c r="F5" s="77"/>
      <c r="G5" s="77"/>
      <c r="H5" s="38">
        <f>(overview!F17*'tep-2'!H20*365*'tep-1'!H31)/1000</f>
        <v>365000</v>
      </c>
      <c r="I5" s="38">
        <f>H5*1.05</f>
        <v>383250</v>
      </c>
      <c r="J5" s="38">
        <f>H5*1.1</f>
        <v>401500.00000000006</v>
      </c>
      <c r="K5" s="38">
        <f>H5*1.15</f>
        <v>419749.99999999994</v>
      </c>
      <c r="L5" s="38">
        <f>H5*1.2</f>
        <v>438000</v>
      </c>
      <c r="M5" s="38">
        <f>H5*1.25</f>
        <v>456250</v>
      </c>
      <c r="N5" s="38">
        <f>H5*1.3</f>
        <v>474500</v>
      </c>
      <c r="O5" s="38">
        <f>H5*1.35</f>
        <v>492750.00000000006</v>
      </c>
    </row>
    <row r="6" spans="1:15" x14ac:dyDescent="0.25">
      <c r="A6" s="22">
        <v>4</v>
      </c>
      <c r="B6" s="77" t="s">
        <v>141</v>
      </c>
      <c r="C6" s="77"/>
      <c r="D6" s="77"/>
      <c r="E6" s="77"/>
      <c r="F6" s="77"/>
      <c r="G6" s="77"/>
      <c r="H6" s="38">
        <f>('flock projection'!F14*'tep-1'!H27)</f>
        <v>250000</v>
      </c>
      <c r="I6" s="38">
        <f>('flock projection'!G14*'tep-1'!H27*1.05)</f>
        <v>329437.5</v>
      </c>
      <c r="J6" s="38">
        <f>('flock projection'!H14*'tep-1'!H27*1.1)</f>
        <v>345675</v>
      </c>
      <c r="K6" s="38">
        <f>('flock projection'!I14*'tep-1'!H27*1.15)</f>
        <v>412073.74999999988</v>
      </c>
      <c r="L6" s="38">
        <f>('flock projection'!J14*'tep-1'!H27*1.2)</f>
        <v>448146</v>
      </c>
      <c r="M6" s="38">
        <f>('flock projection'!K14*'tep-1'!H27*1.25)</f>
        <v>537836.875</v>
      </c>
      <c r="N6" s="38">
        <f>('flock projection'!L14*'tep-1'!H27*1.3)</f>
        <v>499031.39000000007</v>
      </c>
      <c r="O6" s="38">
        <f>('flock projection'!M14*'tep-1'!H27*1.35)</f>
        <v>589966.02450000006</v>
      </c>
    </row>
    <row r="7" spans="1:15" x14ac:dyDescent="0.25">
      <c r="A7" s="22">
        <v>5</v>
      </c>
      <c r="B7" s="77" t="s">
        <v>190</v>
      </c>
      <c r="C7" s="77"/>
      <c r="D7" s="77"/>
      <c r="E7" s="77"/>
      <c r="F7" s="77"/>
      <c r="G7" s="77"/>
      <c r="H7" s="38">
        <f>'flock projection'!F11*50000</f>
        <v>0</v>
      </c>
      <c r="I7" s="38">
        <f>'flock projection'!G11*50000*1.05</f>
        <v>0</v>
      </c>
      <c r="J7" s="38">
        <f>'flock projection'!H11*50000*1.1</f>
        <v>550000</v>
      </c>
      <c r="K7" s="38">
        <f>'flock projection'!I11*50000*1.15</f>
        <v>575000</v>
      </c>
      <c r="L7" s="38">
        <f>'flock projection'!J11*50000*1.2</f>
        <v>660000</v>
      </c>
      <c r="M7" s="38">
        <f>'flock projection'!K11*50000*1.25</f>
        <v>687500</v>
      </c>
      <c r="N7" s="38">
        <f>'flock projection'!L11*50000*1.3</f>
        <v>721500.00000000023</v>
      </c>
      <c r="O7" s="38">
        <f>'flock projection'!M11*50000*1.35</f>
        <v>749250.00000000023</v>
      </c>
    </row>
    <row r="8" spans="1:15" x14ac:dyDescent="0.25">
      <c r="A8" s="22">
        <v>6</v>
      </c>
      <c r="B8" s="102" t="s">
        <v>191</v>
      </c>
      <c r="C8" s="102"/>
      <c r="D8" s="102"/>
      <c r="E8" s="102"/>
      <c r="F8" s="102"/>
      <c r="G8" s="102"/>
      <c r="H8" s="39">
        <f>SUM(H3:H7)</f>
        <v>12840000</v>
      </c>
      <c r="I8" s="39">
        <f t="shared" ref="I8:O8" si="0">SUM(I3:I7)</f>
        <v>17091937.5</v>
      </c>
      <c r="J8" s="39">
        <f t="shared" si="0"/>
        <v>18563552.5</v>
      </c>
      <c r="K8" s="39">
        <f t="shared" si="0"/>
        <v>19462315.074999999</v>
      </c>
      <c r="L8" s="39">
        <f t="shared" si="0"/>
        <v>20387810.739750002</v>
      </c>
      <c r="M8" s="39">
        <f t="shared" si="0"/>
        <v>21309336.817192499</v>
      </c>
      <c r="N8" s="39">
        <f t="shared" si="0"/>
        <v>22108863.888265774</v>
      </c>
      <c r="O8" s="39">
        <f t="shared" si="0"/>
        <v>23031880.999447975</v>
      </c>
    </row>
    <row r="9" spans="1:15" x14ac:dyDescent="0.25">
      <c r="A9" s="22">
        <v>7</v>
      </c>
      <c r="B9" s="113" t="s">
        <v>186</v>
      </c>
      <c r="C9" s="114"/>
      <c r="D9" s="114"/>
      <c r="E9" s="114"/>
      <c r="F9" s="115"/>
      <c r="G9" s="59"/>
      <c r="H9" s="38"/>
      <c r="I9" s="38"/>
      <c r="J9" s="38"/>
      <c r="K9" s="38"/>
      <c r="L9" s="38"/>
      <c r="M9" s="64"/>
      <c r="N9" s="64"/>
      <c r="O9" s="38">
        <f>('flock projection'!J16*'tep-1'!H2)*0.4</f>
        <v>3520000</v>
      </c>
    </row>
    <row r="10" spans="1:15" x14ac:dyDescent="0.25">
      <c r="A10" s="22">
        <v>8</v>
      </c>
      <c r="B10" s="113" t="s">
        <v>192</v>
      </c>
      <c r="C10" s="116"/>
      <c r="D10" s="116"/>
      <c r="E10" s="116"/>
      <c r="F10" s="116"/>
      <c r="G10" s="117"/>
      <c r="H10" s="38"/>
      <c r="I10" s="38"/>
      <c r="J10" s="38"/>
      <c r="K10" s="38"/>
      <c r="L10" s="38"/>
      <c r="M10" s="64"/>
      <c r="N10" s="64"/>
      <c r="O10" s="38">
        <f>'flock projection'!J15*'tep-1'!H28*1.35</f>
        <v>752250.24000000011</v>
      </c>
    </row>
    <row r="11" spans="1:15" x14ac:dyDescent="0.25">
      <c r="A11" s="22">
        <v>9</v>
      </c>
      <c r="B11" s="113" t="s">
        <v>187</v>
      </c>
      <c r="C11" s="114"/>
      <c r="D11" s="114"/>
      <c r="E11" s="114"/>
      <c r="F11" s="115"/>
      <c r="G11" s="59"/>
      <c r="H11" s="38"/>
      <c r="I11" s="38"/>
      <c r="J11" s="38"/>
      <c r="K11" s="38"/>
      <c r="L11" s="38"/>
      <c r="M11" s="64"/>
      <c r="N11" s="64"/>
      <c r="O11" s="38">
        <f>SUM(expenditure!H6,expenditure!H7)-SUM(H23:O23)</f>
        <v>892800</v>
      </c>
    </row>
    <row r="12" spans="1:15" x14ac:dyDescent="0.25">
      <c r="A12" s="22">
        <v>10</v>
      </c>
      <c r="B12" s="113" t="s">
        <v>188</v>
      </c>
      <c r="C12" s="114"/>
      <c r="D12" s="114"/>
      <c r="E12" s="114"/>
      <c r="F12" s="115"/>
      <c r="G12" s="59"/>
      <c r="H12" s="38"/>
      <c r="I12" s="38"/>
      <c r="J12" s="38"/>
      <c r="K12" s="38"/>
      <c r="L12" s="38"/>
      <c r="M12" s="64"/>
      <c r="N12" s="64"/>
      <c r="O12" s="38">
        <f>SUM(expenditure!H8,expenditure!H9,expenditure!H10)-SUM(H25:O25)</f>
        <v>139425</v>
      </c>
    </row>
    <row r="13" spans="1:15" x14ac:dyDescent="0.25">
      <c r="B13" s="102" t="s">
        <v>138</v>
      </c>
      <c r="C13" s="102"/>
      <c r="D13" s="102"/>
      <c r="E13" s="102"/>
      <c r="F13" s="102"/>
      <c r="G13" s="102"/>
      <c r="H13" s="67">
        <f t="shared" ref="H13:K13" si="1">SUM(H8:H12)</f>
        <v>12840000</v>
      </c>
      <c r="I13" s="67">
        <f t="shared" si="1"/>
        <v>17091937.5</v>
      </c>
      <c r="J13" s="67">
        <f t="shared" si="1"/>
        <v>18563552.5</v>
      </c>
      <c r="K13" s="67">
        <f t="shared" si="1"/>
        <v>19462315.074999999</v>
      </c>
      <c r="L13" s="67">
        <f>SUM(L8:L12)</f>
        <v>20387810.739750002</v>
      </c>
      <c r="M13" s="67">
        <f t="shared" ref="M13:O13" si="2">SUM(M8:M12)</f>
        <v>21309336.817192499</v>
      </c>
      <c r="N13" s="67">
        <f t="shared" si="2"/>
        <v>22108863.888265774</v>
      </c>
      <c r="O13" s="67">
        <f t="shared" si="2"/>
        <v>28336356.239447974</v>
      </c>
    </row>
    <row r="14" spans="1:15" x14ac:dyDescent="0.25">
      <c r="B14" s="22"/>
      <c r="C14" s="22"/>
      <c r="D14" s="22"/>
      <c r="E14" s="22"/>
      <c r="F14" s="22"/>
      <c r="G14" s="22"/>
      <c r="H14" s="22"/>
      <c r="I14" s="22"/>
      <c r="J14" s="22"/>
      <c r="K14" s="22"/>
      <c r="L14" s="22"/>
      <c r="M14" s="65"/>
      <c r="N14" s="65"/>
      <c r="O14" s="65"/>
    </row>
    <row r="15" spans="1:15" x14ac:dyDescent="0.25">
      <c r="B15" s="22"/>
      <c r="C15" s="22"/>
      <c r="D15" s="22"/>
      <c r="E15" s="22"/>
      <c r="F15" s="22"/>
      <c r="G15" s="22"/>
      <c r="H15" s="22"/>
      <c r="I15" s="22"/>
      <c r="J15" s="22"/>
      <c r="K15" s="22"/>
      <c r="L15" s="22"/>
      <c r="M15" s="65"/>
      <c r="N15" s="65"/>
      <c r="O15" s="65"/>
    </row>
    <row r="16" spans="1:15" x14ac:dyDescent="0.25">
      <c r="B16" s="2" t="s">
        <v>134</v>
      </c>
      <c r="C16" s="22"/>
      <c r="D16" s="22"/>
      <c r="E16" s="22"/>
      <c r="F16" s="22"/>
      <c r="G16" s="22"/>
      <c r="H16" s="40" t="s">
        <v>115</v>
      </c>
      <c r="I16" s="40" t="s">
        <v>116</v>
      </c>
      <c r="J16" s="40" t="s">
        <v>117</v>
      </c>
      <c r="K16" s="40" t="s">
        <v>118</v>
      </c>
      <c r="L16" s="40" t="s">
        <v>119</v>
      </c>
      <c r="M16" s="40" t="s">
        <v>120</v>
      </c>
      <c r="N16" s="40" t="s">
        <v>121</v>
      </c>
      <c r="O16" s="40" t="s">
        <v>122</v>
      </c>
    </row>
    <row r="17" spans="1:15" x14ac:dyDescent="0.25">
      <c r="A17" s="22">
        <v>1</v>
      </c>
      <c r="B17" s="77" t="s">
        <v>142</v>
      </c>
      <c r="C17" s="77"/>
      <c r="D17" s="77"/>
      <c r="E17" s="77"/>
      <c r="F17" s="77"/>
      <c r="G17" s="77"/>
      <c r="H17" s="38">
        <f>lactation!H18</f>
        <v>5288375</v>
      </c>
      <c r="I17" s="38">
        <f>lactation!I18</f>
        <v>6544387.5</v>
      </c>
      <c r="J17" s="38">
        <f>lactation!J18</f>
        <v>6856025</v>
      </c>
      <c r="K17" s="38">
        <f>lactation!K18</f>
        <v>7167662.5</v>
      </c>
      <c r="L17" s="38">
        <f>lactation!L18</f>
        <v>7479300</v>
      </c>
      <c r="M17" s="38">
        <f>lactation!M18</f>
        <v>7790937.5</v>
      </c>
      <c r="N17" s="38">
        <f>lactation!N18</f>
        <v>8102575</v>
      </c>
      <c r="O17" s="38">
        <f>lactation!O18</f>
        <v>8414212.5</v>
      </c>
    </row>
    <row r="18" spans="1:15" x14ac:dyDescent="0.25">
      <c r="A18" s="22">
        <v>2</v>
      </c>
      <c r="B18" s="77" t="s">
        <v>176</v>
      </c>
      <c r="C18" s="77"/>
      <c r="D18" s="77"/>
      <c r="E18" s="77"/>
      <c r="F18" s="77"/>
      <c r="G18" s="77"/>
      <c r="H18" s="38">
        <f>expenditure!H23</f>
        <v>720000</v>
      </c>
      <c r="I18" s="38">
        <f>H18*1.05</f>
        <v>756000</v>
      </c>
      <c r="J18" s="38">
        <f>H18*1.1</f>
        <v>792000.00000000012</v>
      </c>
      <c r="K18" s="38">
        <f>H18*1.15</f>
        <v>827999.99999999988</v>
      </c>
      <c r="L18" s="38">
        <f>H18*1.2</f>
        <v>864000</v>
      </c>
      <c r="M18" s="38">
        <f>H18*1.25</f>
        <v>900000</v>
      </c>
      <c r="N18" s="38">
        <f>H18*1.3</f>
        <v>936000</v>
      </c>
      <c r="O18" s="38">
        <f>H18*1.35</f>
        <v>972000.00000000012</v>
      </c>
    </row>
    <row r="19" spans="1:15" x14ac:dyDescent="0.25">
      <c r="A19" s="22">
        <v>3</v>
      </c>
      <c r="B19" s="77" t="s">
        <v>143</v>
      </c>
      <c r="C19" s="77"/>
      <c r="D19" s="77"/>
      <c r="E19" s="77"/>
      <c r="F19" s="77"/>
      <c r="G19" s="77"/>
      <c r="H19" s="38">
        <f>expenditure!H20</f>
        <v>100000</v>
      </c>
      <c r="I19" s="38">
        <f t="shared" ref="I19:I21" si="3">H19*1.05</f>
        <v>105000</v>
      </c>
      <c r="J19" s="38">
        <f t="shared" ref="J19:J21" si="4">H19*1.1</f>
        <v>110000.00000000001</v>
      </c>
      <c r="K19" s="38">
        <f t="shared" ref="K19:K21" si="5">H19*1.15</f>
        <v>114999.99999999999</v>
      </c>
      <c r="L19" s="38">
        <f t="shared" ref="L19:L21" si="6">H19*1.2</f>
        <v>120000</v>
      </c>
      <c r="M19" s="38">
        <f t="shared" ref="M19:M21" si="7">H19*1.25</f>
        <v>125000</v>
      </c>
      <c r="N19" s="38">
        <f t="shared" ref="N19:N21" si="8">H19*1.3</f>
        <v>130000</v>
      </c>
      <c r="O19" s="38">
        <f t="shared" ref="O19:O21" si="9">H19*1.35</f>
        <v>135000</v>
      </c>
    </row>
    <row r="20" spans="1:15" x14ac:dyDescent="0.25">
      <c r="A20" s="22">
        <v>4</v>
      </c>
      <c r="B20" s="77" t="s">
        <v>135</v>
      </c>
      <c r="C20" s="77"/>
      <c r="D20" s="77"/>
      <c r="E20" s="77"/>
      <c r="F20" s="77"/>
      <c r="G20" s="77"/>
      <c r="H20" s="38">
        <f>expenditure!H21</f>
        <v>100000</v>
      </c>
      <c r="I20" s="38">
        <f t="shared" si="3"/>
        <v>105000</v>
      </c>
      <c r="J20" s="38">
        <f t="shared" si="4"/>
        <v>110000.00000000001</v>
      </c>
      <c r="K20" s="38">
        <f t="shared" si="5"/>
        <v>114999.99999999999</v>
      </c>
      <c r="L20" s="38">
        <f t="shared" si="6"/>
        <v>120000</v>
      </c>
      <c r="M20" s="38">
        <f t="shared" si="7"/>
        <v>125000</v>
      </c>
      <c r="N20" s="38">
        <f t="shared" si="8"/>
        <v>130000</v>
      </c>
      <c r="O20" s="38">
        <f t="shared" si="9"/>
        <v>135000</v>
      </c>
    </row>
    <row r="21" spans="1:15" x14ac:dyDescent="0.25">
      <c r="A21" s="22">
        <v>5</v>
      </c>
      <c r="B21" s="77" t="s">
        <v>136</v>
      </c>
      <c r="C21" s="77"/>
      <c r="D21" s="77"/>
      <c r="E21" s="77"/>
      <c r="F21" s="77"/>
      <c r="G21" s="77"/>
      <c r="H21" s="38">
        <f>expenditure!H22</f>
        <v>200000</v>
      </c>
      <c r="I21" s="38">
        <f t="shared" si="3"/>
        <v>210000</v>
      </c>
      <c r="J21" s="38">
        <f t="shared" si="4"/>
        <v>220000.00000000003</v>
      </c>
      <c r="K21" s="38">
        <f t="shared" si="5"/>
        <v>229999.99999999997</v>
      </c>
      <c r="L21" s="38">
        <f t="shared" si="6"/>
        <v>240000</v>
      </c>
      <c r="M21" s="38">
        <f t="shared" si="7"/>
        <v>250000</v>
      </c>
      <c r="N21" s="38">
        <f t="shared" si="8"/>
        <v>260000</v>
      </c>
      <c r="O21" s="38">
        <f t="shared" si="9"/>
        <v>270000</v>
      </c>
    </row>
    <row r="22" spans="1:15" x14ac:dyDescent="0.25">
      <c r="A22" s="22">
        <v>6</v>
      </c>
      <c r="B22" s="77" t="s">
        <v>193</v>
      </c>
      <c r="C22" s="77"/>
      <c r="D22" s="77"/>
      <c r="E22" s="77"/>
      <c r="F22" s="77"/>
      <c r="G22" s="77"/>
      <c r="H22" s="38">
        <f>'flock projection'!F16*'tep-1'!H2*'tep-2'!H13</f>
        <v>400000</v>
      </c>
      <c r="I22" s="38">
        <f>'flock projection'!G4*'tep-1'!H2*'tep-2'!H13</f>
        <v>400000</v>
      </c>
      <c r="J22" s="38">
        <f>'flock projection'!H4*'tep-1'!H2*'tep-2'!H13</f>
        <v>400000</v>
      </c>
      <c r="K22" s="38">
        <f>'flock projection'!I4*'tep-1'!H2*'tep-2'!H13</f>
        <v>400000</v>
      </c>
      <c r="L22" s="38">
        <f>'flock projection'!J4*'tep-1'!H2*'tep-2'!H13</f>
        <v>440000</v>
      </c>
      <c r="M22" s="38">
        <f>'flock projection'!K4*'tep-1'!H2*'tep-2'!H13</f>
        <v>440000</v>
      </c>
      <c r="N22" s="38">
        <f>'flock projection'!L4*'tep-1'!H2*'tep-2'!H13</f>
        <v>444000.00000000012</v>
      </c>
      <c r="O22" s="38">
        <f>'flock projection'!M4*'tep-1'!H2*'tep-2'!H13</f>
        <v>444000</v>
      </c>
    </row>
    <row r="23" spans="1:15" x14ac:dyDescent="0.25">
      <c r="A23" s="22">
        <v>7</v>
      </c>
      <c r="B23" s="112" t="s">
        <v>177</v>
      </c>
      <c r="C23" s="112"/>
      <c r="D23" s="112"/>
      <c r="E23" s="112"/>
      <c r="F23" s="112"/>
      <c r="G23" s="112"/>
      <c r="H23" s="38">
        <f>(expenditure!H6+expenditure!H7)*'tep-2'!H21</f>
        <v>186000</v>
      </c>
      <c r="I23" s="38">
        <f>SUM(expenditure!H6,expenditure!H7)*0.9*'tep-2'!H21</f>
        <v>167400</v>
      </c>
      <c r="J23" s="38">
        <f>SUM(expenditure!H6,expenditure!H7)*0.8*'tep-2'!H21</f>
        <v>148800</v>
      </c>
      <c r="K23" s="38">
        <f>SUM(expenditure!H6,expenditure!H7)*0.7*'tep-2'!H21</f>
        <v>130200</v>
      </c>
      <c r="L23" s="38">
        <f>SUM(expenditure!H6,expenditure!H7)*0.6*'tep-2'!H21</f>
        <v>111600</v>
      </c>
      <c r="M23" s="38">
        <f>SUM(expenditure!H6,expenditure!H7)*0.5*'tep-2'!H21</f>
        <v>93000</v>
      </c>
      <c r="N23" s="38">
        <f>SUM(expenditure!H6,expenditure!H7)*0.4*'tep-2'!H21</f>
        <v>74400</v>
      </c>
      <c r="O23" s="38">
        <f>SUM(expenditure!H6,expenditure!H7)*0.3*'tep-2'!H21</f>
        <v>55800</v>
      </c>
    </row>
    <row r="24" spans="1:15" x14ac:dyDescent="0.25">
      <c r="A24" s="22">
        <v>8</v>
      </c>
      <c r="B24" s="77" t="s">
        <v>178</v>
      </c>
      <c r="C24" s="77"/>
      <c r="D24" s="77"/>
      <c r="E24" s="77"/>
      <c r="F24" s="77"/>
      <c r="G24" s="77"/>
      <c r="H24" s="38">
        <f>(expenditure!H4*'tep-2'!H23)</f>
        <v>0</v>
      </c>
      <c r="I24" s="38">
        <f>(0.9*expenditure!H4*'tep-2'!H23)</f>
        <v>0</v>
      </c>
      <c r="J24" s="38">
        <f>(0.8*expenditure!H4*'tep-2'!H23)</f>
        <v>0</v>
      </c>
      <c r="K24" s="38">
        <f>(0.7*expenditure!H4*'tep-2'!H23)</f>
        <v>0</v>
      </c>
      <c r="L24" s="38">
        <f>(0.6*expenditure!H4*'tep-2'!H23)</f>
        <v>0</v>
      </c>
      <c r="M24" s="38">
        <f>(0.5*expenditure!H4*'tep-2'!H23)</f>
        <v>0</v>
      </c>
      <c r="N24" s="38">
        <f>(0.4*expenditure!H4*'tep-2'!H23)</f>
        <v>0</v>
      </c>
      <c r="O24" s="38">
        <f>(0.3*expenditure!H4*'tep-2'!H23)</f>
        <v>0</v>
      </c>
    </row>
    <row r="25" spans="1:15" x14ac:dyDescent="0.25">
      <c r="A25" s="22">
        <v>9</v>
      </c>
      <c r="B25" s="77" t="s">
        <v>179</v>
      </c>
      <c r="C25" s="77"/>
      <c r="D25" s="77"/>
      <c r="E25" s="77"/>
      <c r="F25" s="77"/>
      <c r="G25" s="77"/>
      <c r="H25" s="38">
        <f>SUM(expenditure!H8,expenditure!H9,expenditure!H10)*'tep-2'!H22</f>
        <v>49500</v>
      </c>
      <c r="I25" s="38">
        <f>0.85*(expenditure!H8+expenditure!H9+expenditure!H10)*'tep-2'!H22</f>
        <v>42075</v>
      </c>
      <c r="J25" s="38">
        <f>0.7*(expenditure!H10+expenditure!H9+expenditure!H8)*'tep-2'!H22</f>
        <v>34649.999999999993</v>
      </c>
      <c r="K25" s="38">
        <f>0.55*(expenditure!H10+expenditure!H9+expenditure!H8)*'tep-2'!H22</f>
        <v>27225.000000000004</v>
      </c>
      <c r="L25" s="38">
        <f>0.4*(expenditure!H10+expenditure!H9+expenditure!H8)*'tep-2'!H22</f>
        <v>19800</v>
      </c>
      <c r="M25" s="38">
        <f>0.25*(expenditure!H10+expenditure!H9+expenditure!H8)*'tep-2'!H22</f>
        <v>12375</v>
      </c>
      <c r="N25" s="38">
        <f>0.1*(expenditure!H10+expenditure!H9+expenditure!H8)*'tep-2'!H22</f>
        <v>4950</v>
      </c>
      <c r="O25" s="38">
        <v>0</v>
      </c>
    </row>
    <row r="26" spans="1:15" x14ac:dyDescent="0.25">
      <c r="B26" s="102" t="s">
        <v>137</v>
      </c>
      <c r="C26" s="102"/>
      <c r="D26" s="102"/>
      <c r="E26" s="102"/>
      <c r="F26" s="102"/>
      <c r="G26" s="102"/>
      <c r="H26" s="39">
        <f t="shared" ref="H26:O26" si="10">SUM(H17:H25)</f>
        <v>7043875</v>
      </c>
      <c r="I26" s="39">
        <f t="shared" si="10"/>
        <v>8329862.5</v>
      </c>
      <c r="J26" s="39">
        <f t="shared" si="10"/>
        <v>8671475</v>
      </c>
      <c r="K26" s="39">
        <f t="shared" si="10"/>
        <v>9013087.5</v>
      </c>
      <c r="L26" s="39">
        <f t="shared" si="10"/>
        <v>9394700</v>
      </c>
      <c r="M26" s="39">
        <f t="shared" si="10"/>
        <v>9736312.5</v>
      </c>
      <c r="N26" s="39">
        <f t="shared" si="10"/>
        <v>10081925</v>
      </c>
      <c r="O26" s="39">
        <f t="shared" si="10"/>
        <v>10426012.5</v>
      </c>
    </row>
    <row r="27" spans="1:15" x14ac:dyDescent="0.25">
      <c r="B27" s="22"/>
      <c r="C27" s="22"/>
      <c r="D27" s="22"/>
      <c r="E27" s="22"/>
      <c r="F27" s="22"/>
      <c r="G27" s="22"/>
      <c r="H27" s="22"/>
      <c r="I27" s="22"/>
      <c r="J27" s="22"/>
      <c r="K27" s="22"/>
      <c r="L27" s="22"/>
      <c r="M27" s="22"/>
      <c r="N27" s="22"/>
      <c r="O27" s="22"/>
    </row>
    <row r="28" spans="1:15" x14ac:dyDescent="0.25">
      <c r="B28" s="102" t="s">
        <v>147</v>
      </c>
      <c r="C28" s="102"/>
      <c r="D28" s="102"/>
      <c r="E28" s="102"/>
      <c r="F28" s="102"/>
      <c r="G28" s="12"/>
      <c r="H28" s="28">
        <f>(H8-H26)</f>
        <v>5796125</v>
      </c>
      <c r="I28" s="28">
        <f t="shared" ref="I28:O28" si="11">(I8-I26)</f>
        <v>8762075</v>
      </c>
      <c r="J28" s="28">
        <f t="shared" si="11"/>
        <v>9892077.5</v>
      </c>
      <c r="K28" s="28">
        <f t="shared" si="11"/>
        <v>10449227.574999999</v>
      </c>
      <c r="L28" s="28">
        <f t="shared" si="11"/>
        <v>10993110.739750002</v>
      </c>
      <c r="M28" s="28">
        <f t="shared" si="11"/>
        <v>11573024.317192499</v>
      </c>
      <c r="N28" s="28">
        <f t="shared" si="11"/>
        <v>12026938.888265774</v>
      </c>
      <c r="O28" s="28">
        <f t="shared" si="11"/>
        <v>12605868.499447975</v>
      </c>
    </row>
    <row r="29" spans="1:15" x14ac:dyDescent="0.25">
      <c r="B29" s="102" t="s">
        <v>148</v>
      </c>
      <c r="C29" s="102"/>
      <c r="D29" s="102"/>
      <c r="E29" s="102"/>
      <c r="F29" s="102"/>
      <c r="G29" s="12"/>
      <c r="H29" s="28">
        <f>(H28/12)</f>
        <v>483010.41666666669</v>
      </c>
      <c r="I29" s="28">
        <f t="shared" ref="I29:O29" si="12">(I28/12)</f>
        <v>730172.91666666663</v>
      </c>
      <c r="J29" s="28">
        <f t="shared" si="12"/>
        <v>824339.79166666663</v>
      </c>
      <c r="K29" s="28">
        <f t="shared" si="12"/>
        <v>870768.96458333323</v>
      </c>
      <c r="L29" s="28">
        <f t="shared" si="12"/>
        <v>916092.56164583343</v>
      </c>
      <c r="M29" s="28">
        <f t="shared" si="12"/>
        <v>964418.69309937488</v>
      </c>
      <c r="N29" s="28">
        <f t="shared" si="12"/>
        <v>1002244.9073554812</v>
      </c>
      <c r="O29" s="28">
        <f t="shared" si="12"/>
        <v>1050489.0416206645</v>
      </c>
    </row>
    <row r="30" spans="1:15" x14ac:dyDescent="0.25">
      <c r="B30" s="102" t="s">
        <v>149</v>
      </c>
      <c r="C30" s="102"/>
      <c r="D30" s="102"/>
      <c r="E30" s="102"/>
      <c r="F30" s="102"/>
      <c r="G30" s="12"/>
      <c r="H30" s="28">
        <f>(H29/overview!F17)</f>
        <v>4830.104166666667</v>
      </c>
      <c r="I30" s="28">
        <f>(I29/overview!F17)</f>
        <v>7301.7291666666661</v>
      </c>
      <c r="J30" s="28">
        <f>(J29/overview!F17)</f>
        <v>8243.3979166666668</v>
      </c>
      <c r="K30" s="28">
        <f>(K29/overview!F17)</f>
        <v>8707.6896458333322</v>
      </c>
      <c r="L30" s="28">
        <f>(L29/overview!F17)</f>
        <v>9160.9256164583348</v>
      </c>
      <c r="M30" s="28">
        <f>(M29/overview!F17)</f>
        <v>9644.1869309937483</v>
      </c>
      <c r="N30" s="28">
        <f>(N29/overview!F17)</f>
        <v>10022.449073554812</v>
      </c>
      <c r="O30" s="28">
        <f>(O29/overview!F17)</f>
        <v>10504.890416206645</v>
      </c>
    </row>
    <row r="31" spans="1:15" x14ac:dyDescent="0.25">
      <c r="H31">
        <f t="shared" ref="H31:O31" si="13">H13/H26</f>
        <v>1.822860286419052</v>
      </c>
      <c r="I31">
        <f t="shared" si="13"/>
        <v>2.051887110981724</v>
      </c>
      <c r="J31">
        <f t="shared" si="13"/>
        <v>2.140760654905884</v>
      </c>
      <c r="K31">
        <f t="shared" si="13"/>
        <v>2.1593394133808199</v>
      </c>
      <c r="L31">
        <f t="shared" si="13"/>
        <v>2.170139625506935</v>
      </c>
      <c r="M31">
        <f t="shared" si="13"/>
        <v>2.1886455284988542</v>
      </c>
      <c r="N31">
        <f t="shared" si="13"/>
        <v>2.1929208844804711</v>
      </c>
      <c r="O31">
        <f t="shared" si="13"/>
        <v>2.7178517424037207</v>
      </c>
    </row>
  </sheetData>
  <mergeCells count="24">
    <mergeCell ref="B17:G17"/>
    <mergeCell ref="B3:G3"/>
    <mergeCell ref="B4:G4"/>
    <mergeCell ref="B5:G5"/>
    <mergeCell ref="B6:G6"/>
    <mergeCell ref="B13:G13"/>
    <mergeCell ref="B9:F9"/>
    <mergeCell ref="B11:F11"/>
    <mergeCell ref="B12:F12"/>
    <mergeCell ref="B7:G7"/>
    <mergeCell ref="B8:G8"/>
    <mergeCell ref="B10:G10"/>
    <mergeCell ref="B18:G18"/>
    <mergeCell ref="B19:G19"/>
    <mergeCell ref="B20:G20"/>
    <mergeCell ref="B21:G21"/>
    <mergeCell ref="B23:G23"/>
    <mergeCell ref="B22:G22"/>
    <mergeCell ref="B26:G26"/>
    <mergeCell ref="B24:G24"/>
    <mergeCell ref="B28:F28"/>
    <mergeCell ref="B29:F29"/>
    <mergeCell ref="B30:F30"/>
    <mergeCell ref="B25:G25"/>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43"/>
  <sheetViews>
    <sheetView tabSelected="1" topLeftCell="A2" zoomScale="120" zoomScaleNormal="120" workbookViewId="0">
      <selection activeCell="D33" sqref="D33"/>
    </sheetView>
  </sheetViews>
  <sheetFormatPr defaultRowHeight="15" x14ac:dyDescent="0.25"/>
  <cols>
    <col min="1" max="1" width="3.7109375" customWidth="1"/>
    <col min="2" max="2" width="6.5703125" customWidth="1"/>
    <col min="3" max="3" width="16.140625" customWidth="1"/>
    <col min="4" max="4" width="13.140625" customWidth="1"/>
    <col min="5" max="5" width="12" customWidth="1"/>
    <col min="6" max="6" width="13.28515625" customWidth="1"/>
    <col min="7" max="7" width="15.42578125" customWidth="1"/>
  </cols>
  <sheetData>
    <row r="2" spans="2:7" x14ac:dyDescent="0.25">
      <c r="B2" s="2" t="s">
        <v>150</v>
      </c>
      <c r="C2" s="1"/>
    </row>
    <row r="3" spans="2:7" s="42" customFormat="1" ht="52.5" customHeight="1" x14ac:dyDescent="0.25">
      <c r="B3" s="43" t="s">
        <v>151</v>
      </c>
      <c r="C3" s="43" t="s">
        <v>147</v>
      </c>
      <c r="D3" s="43" t="s">
        <v>152</v>
      </c>
      <c r="E3" s="43" t="s">
        <v>153</v>
      </c>
      <c r="F3" s="43" t="s">
        <v>182</v>
      </c>
      <c r="G3" s="43" t="s">
        <v>154</v>
      </c>
    </row>
    <row r="4" spans="2:7" x14ac:dyDescent="0.25">
      <c r="B4" s="24" t="s">
        <v>115</v>
      </c>
      <c r="C4" s="27">
        <f>'balance sheet'!H28</f>
        <v>5796125</v>
      </c>
      <c r="D4" s="27">
        <f>(overview!F24/overview!F25)</f>
        <v>2720100</v>
      </c>
      <c r="E4" s="27">
        <f>(overview!F24*overview!F26)</f>
        <v>1632060</v>
      </c>
      <c r="F4" s="27">
        <f>SUM(D4,E4)</f>
        <v>4352160</v>
      </c>
      <c r="G4" s="44">
        <f>(C4-F4)</f>
        <v>1443965</v>
      </c>
    </row>
    <row r="5" spans="2:7" x14ac:dyDescent="0.25">
      <c r="B5" s="24" t="s">
        <v>116</v>
      </c>
      <c r="C5" s="27">
        <f>'balance sheet'!I28</f>
        <v>8762075</v>
      </c>
      <c r="D5" s="27">
        <f>D4</f>
        <v>2720100</v>
      </c>
      <c r="E5" s="27">
        <f>SUM(D5,D6,D7,D8,D9,D10,D11)*overview!F26</f>
        <v>1305648</v>
      </c>
      <c r="F5" s="27">
        <f t="shared" ref="F5:F11" si="0">SUM(D5,E5)</f>
        <v>4025748</v>
      </c>
      <c r="G5" s="44">
        <f t="shared" ref="G5:G11" si="1">(C5-F5)</f>
        <v>4736327</v>
      </c>
    </row>
    <row r="6" spans="2:7" x14ac:dyDescent="0.25">
      <c r="B6" s="24" t="s">
        <v>117</v>
      </c>
      <c r="C6" s="27">
        <f>'balance sheet'!J28</f>
        <v>9892077.5</v>
      </c>
      <c r="D6" s="27">
        <f t="shared" ref="D6:D10" si="2">D5</f>
        <v>2720100</v>
      </c>
      <c r="E6" s="27">
        <f>SUM(D6,D7,D8,D9,D10,D11)*overview!F26</f>
        <v>979236</v>
      </c>
      <c r="F6" s="27">
        <f t="shared" si="0"/>
        <v>3699336</v>
      </c>
      <c r="G6" s="44">
        <f t="shared" si="1"/>
        <v>6192741.5</v>
      </c>
    </row>
    <row r="7" spans="2:7" x14ac:dyDescent="0.25">
      <c r="B7" s="24" t="s">
        <v>118</v>
      </c>
      <c r="C7" s="27">
        <f>'balance sheet'!K28</f>
        <v>10449227.574999999</v>
      </c>
      <c r="D7" s="27">
        <f t="shared" si="2"/>
        <v>2720100</v>
      </c>
      <c r="E7" s="27">
        <f>SUM(D7,D8,D9,D10,D11)*overview!F26</f>
        <v>652824</v>
      </c>
      <c r="F7" s="27">
        <f t="shared" si="0"/>
        <v>3372924</v>
      </c>
      <c r="G7" s="44">
        <f t="shared" si="1"/>
        <v>7076303.5749999993</v>
      </c>
    </row>
    <row r="8" spans="2:7" x14ac:dyDescent="0.25">
      <c r="B8" s="24" t="s">
        <v>119</v>
      </c>
      <c r="C8" s="27">
        <f>'balance sheet'!L28</f>
        <v>10993110.739750002</v>
      </c>
      <c r="D8" s="27">
        <f t="shared" si="2"/>
        <v>2720100</v>
      </c>
      <c r="E8" s="27">
        <f>SUM(D8:D11)*overview!F26</f>
        <v>326412</v>
      </c>
      <c r="F8" s="27">
        <f t="shared" si="0"/>
        <v>3046512</v>
      </c>
      <c r="G8" s="44">
        <f t="shared" si="1"/>
        <v>7946598.7397500016</v>
      </c>
    </row>
    <row r="9" spans="2:7" x14ac:dyDescent="0.25">
      <c r="B9" s="24" t="s">
        <v>120</v>
      </c>
      <c r="C9" s="27">
        <f>'balance sheet'!M28</f>
        <v>11573024.317192499</v>
      </c>
      <c r="D9" s="27">
        <v>0</v>
      </c>
      <c r="E9" s="27">
        <f>SUM(D9:D11)*overview!F26</f>
        <v>0</v>
      </c>
      <c r="F9" s="27">
        <f t="shared" si="0"/>
        <v>0</v>
      </c>
      <c r="G9" s="44">
        <f t="shared" si="1"/>
        <v>11573024.317192499</v>
      </c>
    </row>
    <row r="10" spans="2:7" x14ac:dyDescent="0.25">
      <c r="B10" s="24" t="s">
        <v>121</v>
      </c>
      <c r="C10" s="27">
        <f>'balance sheet'!N28</f>
        <v>12026938.888265774</v>
      </c>
      <c r="D10" s="27">
        <f t="shared" si="2"/>
        <v>0</v>
      </c>
      <c r="E10" s="27">
        <f>SUM(D10,D11)*overview!F26</f>
        <v>0</v>
      </c>
      <c r="F10" s="27">
        <f t="shared" si="0"/>
        <v>0</v>
      </c>
      <c r="G10" s="44">
        <f t="shared" si="1"/>
        <v>12026938.888265774</v>
      </c>
    </row>
    <row r="11" spans="2:7" x14ac:dyDescent="0.25">
      <c r="B11" s="24" t="s">
        <v>122</v>
      </c>
      <c r="C11" s="27">
        <f>'balance sheet'!O28</f>
        <v>12605868.499447975</v>
      </c>
      <c r="D11" s="27">
        <v>0</v>
      </c>
      <c r="E11" s="23">
        <f>(D11*overview!F26)</f>
        <v>0</v>
      </c>
      <c r="F11" s="27">
        <f t="shared" si="0"/>
        <v>0</v>
      </c>
      <c r="G11" s="44">
        <f t="shared" si="1"/>
        <v>12605868.499447975</v>
      </c>
    </row>
    <row r="14" spans="2:7" x14ac:dyDescent="0.25">
      <c r="B14" s="47" t="s">
        <v>157</v>
      </c>
    </row>
    <row r="15" spans="2:7" ht="31.5" customHeight="1" x14ac:dyDescent="0.25">
      <c r="B15" s="51" t="s">
        <v>151</v>
      </c>
      <c r="C15" s="43" t="s">
        <v>160</v>
      </c>
      <c r="D15" s="52" t="s">
        <v>158</v>
      </c>
      <c r="E15" s="52" t="s">
        <v>161</v>
      </c>
      <c r="F15" s="72" t="s">
        <v>212</v>
      </c>
      <c r="G15" s="53">
        <f>overview!F26</f>
        <v>0.12</v>
      </c>
    </row>
    <row r="16" spans="2:7" ht="15.75" x14ac:dyDescent="0.25">
      <c r="B16" s="50">
        <v>0</v>
      </c>
      <c r="C16" s="48">
        <f>-(expenditure!H11-expenditure!H5)</f>
        <v>-10190000</v>
      </c>
      <c r="D16" s="27">
        <f>C16/(1+$G$15)^B16</f>
        <v>-10190000</v>
      </c>
      <c r="E16" s="12"/>
    </row>
    <row r="17" spans="2:11" x14ac:dyDescent="0.25">
      <c r="B17" s="49">
        <v>1</v>
      </c>
      <c r="C17" s="44">
        <f>C4-F4</f>
        <v>1443965</v>
      </c>
      <c r="D17" s="27">
        <f>C17/(1+$G$15)^B17</f>
        <v>1289254.4642857141</v>
      </c>
      <c r="E17" s="73">
        <f>IRR(C16:C17,G15)</f>
        <v>-0.85829587831207066</v>
      </c>
    </row>
    <row r="18" spans="2:11" x14ac:dyDescent="0.25">
      <c r="B18" s="49">
        <v>2</v>
      </c>
      <c r="C18" s="44">
        <f t="shared" ref="C18:C24" si="3">C5-F5</f>
        <v>4736327</v>
      </c>
      <c r="D18" s="27">
        <f t="shared" ref="D18:D24" si="4">C18/(1+$G$15)^B18</f>
        <v>3775770.8864795915</v>
      </c>
      <c r="E18" s="73">
        <f>IRR(C16:C18,G15)</f>
        <v>-0.2437126857897961</v>
      </c>
    </row>
    <row r="19" spans="2:11" x14ac:dyDescent="0.25">
      <c r="B19" s="49">
        <v>3</v>
      </c>
      <c r="C19" s="44">
        <f t="shared" si="3"/>
        <v>6192741.5</v>
      </c>
      <c r="D19" s="27">
        <f t="shared" si="4"/>
        <v>4407871.0795143936</v>
      </c>
      <c r="E19" s="73">
        <f>IRR(C16:C19,G15)</f>
        <v>8.5566953127553802E-2</v>
      </c>
      <c r="J19" s="62"/>
    </row>
    <row r="20" spans="2:11" x14ac:dyDescent="0.25">
      <c r="B20" s="49">
        <v>4</v>
      </c>
      <c r="C20" s="44">
        <f t="shared" si="3"/>
        <v>7076303.5749999993</v>
      </c>
      <c r="D20" s="27">
        <f t="shared" si="4"/>
        <v>4497118.850193237</v>
      </c>
      <c r="E20" s="73">
        <f>IRR(C16:C20,G15)</f>
        <v>0.25290715349577764</v>
      </c>
      <c r="J20" s="62"/>
    </row>
    <row r="21" spans="2:11" ht="15.75" x14ac:dyDescent="0.25">
      <c r="B21" s="49">
        <v>5</v>
      </c>
      <c r="C21" s="44">
        <f t="shared" si="3"/>
        <v>7946598.7397500016</v>
      </c>
      <c r="D21" s="27">
        <f t="shared" si="4"/>
        <v>4509113.5365537265</v>
      </c>
      <c r="E21" s="73">
        <f>IRR(C16:C21,G15)</f>
        <v>0.34562180653370911</v>
      </c>
      <c r="F21" s="63"/>
      <c r="I21" s="120"/>
      <c r="J21" s="62"/>
    </row>
    <row r="22" spans="2:11" x14ac:dyDescent="0.25">
      <c r="B22" s="49">
        <v>6</v>
      </c>
      <c r="C22" s="44">
        <f t="shared" si="3"/>
        <v>11573024.317192499</v>
      </c>
      <c r="D22" s="27">
        <f t="shared" si="4"/>
        <v>5863254.2852316312</v>
      </c>
      <c r="E22" s="73">
        <f>IRR(C16:C22,G15)</f>
        <v>0.41458213411302536</v>
      </c>
      <c r="I22" s="120"/>
      <c r="J22" s="62"/>
    </row>
    <row r="23" spans="2:11" x14ac:dyDescent="0.25">
      <c r="B23" s="49">
        <v>7</v>
      </c>
      <c r="C23" s="44">
        <f t="shared" si="3"/>
        <v>12026938.888265774</v>
      </c>
      <c r="D23" s="27">
        <f t="shared" si="4"/>
        <v>5440376.3690117924</v>
      </c>
      <c r="E23" s="73">
        <f>IRR(C16:C23,G15)</f>
        <v>0.45261640823857063</v>
      </c>
      <c r="J23" s="62"/>
    </row>
    <row r="24" spans="2:11" x14ac:dyDescent="0.25">
      <c r="B24" s="49">
        <v>8</v>
      </c>
      <c r="C24" s="44">
        <f t="shared" si="3"/>
        <v>12605868.499447975</v>
      </c>
      <c r="D24" s="27">
        <f t="shared" si="4"/>
        <v>5091298.8610404944</v>
      </c>
      <c r="E24" s="73">
        <f>IRR(C16:C24,G15)</f>
        <v>0.47526781845758981</v>
      </c>
      <c r="J24" s="62"/>
    </row>
    <row r="25" spans="2:11" x14ac:dyDescent="0.25">
      <c r="K25" s="62"/>
    </row>
    <row r="26" spans="2:11" x14ac:dyDescent="0.25">
      <c r="C26" s="24" t="s">
        <v>159</v>
      </c>
      <c r="D26" s="54">
        <f>SUM(D16:D24)</f>
        <v>24684058.332310583</v>
      </c>
      <c r="E26" s="37">
        <f>C16+NPV(G15,C17:C24)</f>
        <v>24684058.332310572</v>
      </c>
    </row>
    <row r="27" spans="2:11" x14ac:dyDescent="0.25">
      <c r="C27" s="24" t="s">
        <v>161</v>
      </c>
      <c r="D27" s="55">
        <f>IRR(C16:C24,G15)</f>
        <v>0.47526781845758981</v>
      </c>
    </row>
    <row r="28" spans="2:11" x14ac:dyDescent="0.25">
      <c r="C28" s="24" t="s">
        <v>183</v>
      </c>
      <c r="D28" s="58">
        <f>SUM('balance sheet'!H13:O13)/SUM('balance sheet'!H26:O26)</f>
        <v>2.2022865068438797</v>
      </c>
      <c r="F28" s="1" t="s">
        <v>197</v>
      </c>
    </row>
    <row r="29" spans="2:11" x14ac:dyDescent="0.25">
      <c r="C29" s="24" t="s">
        <v>202</v>
      </c>
      <c r="D29" s="58">
        <f>AVERAGE('balance sheet'!H28:O28)/AVERAGE('repayment schedule'!F4:F11)</f>
        <v>4.4385504598477263</v>
      </c>
      <c r="F29" s="12" t="s">
        <v>198</v>
      </c>
      <c r="G29" s="12"/>
      <c r="H29" s="12"/>
      <c r="I29" s="68">
        <f>'balance sheet'!O9+'balance sheet'!O10</f>
        <v>4272250.24</v>
      </c>
    </row>
    <row r="30" spans="2:11" x14ac:dyDescent="0.25">
      <c r="C30" s="24" t="s">
        <v>203</v>
      </c>
      <c r="D30" s="58">
        <f>SUM(F4:F11)/SUM(C4:C11)</f>
        <v>0.22529877919520308</v>
      </c>
      <c r="F30" s="12" t="s">
        <v>199</v>
      </c>
      <c r="G30" s="12"/>
      <c r="H30" s="12"/>
      <c r="I30" s="68">
        <f>'balance sheet'!O11</f>
        <v>892800</v>
      </c>
    </row>
    <row r="31" spans="2:11" ht="24" x14ac:dyDescent="0.25">
      <c r="C31" s="70" t="s">
        <v>209</v>
      </c>
      <c r="D31" s="58">
        <f>expenditure!H26/AVERAGE('balance sheet'!H28:O28)</f>
        <v>1.6566086705529639</v>
      </c>
      <c r="F31" s="12" t="s">
        <v>200</v>
      </c>
      <c r="G31" s="12"/>
      <c r="H31" s="12"/>
      <c r="I31" s="68">
        <f>'balance sheet'!O12</f>
        <v>139425</v>
      </c>
    </row>
    <row r="32" spans="2:11" x14ac:dyDescent="0.25">
      <c r="C32" s="24" t="s">
        <v>211</v>
      </c>
      <c r="D32" s="71">
        <f>(SUM(G4:G11)/expenditure!H26)-1</f>
        <v>2.7411429003143262</v>
      </c>
      <c r="F32" s="21" t="s">
        <v>201</v>
      </c>
      <c r="G32" s="21"/>
      <c r="H32" s="21"/>
      <c r="I32" s="69">
        <f>SUM(I29:I31)</f>
        <v>5304475.24</v>
      </c>
    </row>
    <row r="33" spans="1:8" x14ac:dyDescent="0.25">
      <c r="C33" s="24" t="s">
        <v>213</v>
      </c>
      <c r="D33" s="18" t="s">
        <v>215</v>
      </c>
    </row>
    <row r="34" spans="1:8" x14ac:dyDescent="0.25">
      <c r="B34" s="118" t="s">
        <v>162</v>
      </c>
      <c r="C34" s="118"/>
      <c r="D34" s="56"/>
      <c r="E34" s="56"/>
      <c r="F34" s="56"/>
      <c r="G34" s="56"/>
    </row>
    <row r="35" spans="1:8" ht="36.75" customHeight="1" x14ac:dyDescent="0.25">
      <c r="A35" s="57">
        <v>1</v>
      </c>
      <c r="B35" s="119" t="s">
        <v>180</v>
      </c>
      <c r="C35" s="119"/>
      <c r="D35" s="119"/>
      <c r="E35" s="119"/>
      <c r="F35" s="119"/>
      <c r="G35" s="119"/>
      <c r="H35" s="119"/>
    </row>
    <row r="36" spans="1:8" ht="38.25" customHeight="1" x14ac:dyDescent="0.25">
      <c r="A36" s="57">
        <v>2</v>
      </c>
      <c r="B36" s="119" t="s">
        <v>181</v>
      </c>
      <c r="C36" s="119"/>
      <c r="D36" s="119"/>
      <c r="E36" s="119"/>
      <c r="F36" s="119"/>
      <c r="G36" s="119"/>
      <c r="H36" s="119"/>
    </row>
    <row r="37" spans="1:8" x14ac:dyDescent="0.25">
      <c r="C37" t="s">
        <v>204</v>
      </c>
    </row>
    <row r="38" spans="1:8" x14ac:dyDescent="0.25">
      <c r="C38" t="s">
        <v>205</v>
      </c>
    </row>
    <row r="39" spans="1:8" x14ac:dyDescent="0.25">
      <c r="C39" t="s">
        <v>206</v>
      </c>
    </row>
    <row r="40" spans="1:8" x14ac:dyDescent="0.25">
      <c r="C40" t="s">
        <v>207</v>
      </c>
    </row>
    <row r="41" spans="1:8" x14ac:dyDescent="0.25">
      <c r="C41" t="s">
        <v>208</v>
      </c>
    </row>
    <row r="42" spans="1:8" x14ac:dyDescent="0.25">
      <c r="C42" t="s">
        <v>210</v>
      </c>
    </row>
    <row r="43" spans="1:8" x14ac:dyDescent="0.25">
      <c r="C43" t="s">
        <v>214</v>
      </c>
    </row>
  </sheetData>
  <mergeCells count="4">
    <mergeCell ref="B34:C34"/>
    <mergeCell ref="B35:H35"/>
    <mergeCell ref="B36:H36"/>
    <mergeCell ref="I21:I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tep-1</vt:lpstr>
      <vt:lpstr>tep-2</vt:lpstr>
      <vt:lpstr>expenditure</vt:lpstr>
      <vt:lpstr>flock projection</vt:lpstr>
      <vt:lpstr>lactation</vt:lpstr>
      <vt:lpstr>balance sheet</vt:lpstr>
      <vt:lpstr>repayment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2024-09-21T08:19:42Z</dcterms:modified>
</cp:coreProperties>
</file>